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gdip1\servizio\SEF\Bilancio\Bilancio 2022\04 Preventivo al 31_10_22\CE e Modello CE\"/>
    </mc:Choice>
  </mc:AlternateContent>
  <bookViews>
    <workbookView xWindow="0" yWindow="0" windowWidth="23040" windowHeight="9780" activeTab="1"/>
  </bookViews>
  <sheets>
    <sheet name="Dati" sheetId="12" r:id="rId1"/>
    <sheet name="Modello CE" sheetId="7" r:id="rId2"/>
    <sheet name="CE 118" sheetId="11" r:id="rId3"/>
    <sheet name="Schema 118" sheetId="13" r:id="rId4"/>
  </sheets>
  <definedNames>
    <definedName name="_FilterDatabase" localSheetId="1" hidden="1">'Modello CE'!$A$2:$B$695</definedName>
    <definedName name="_xlnm.Print_Area" localSheetId="1">'Modello CE'!$A$1:$E$564</definedName>
    <definedName name="_xlnm.Print_Area" localSheetId="3">'Schema 118'!$A$1:$J$119</definedName>
    <definedName name="DatiEsterni_1" localSheetId="0" hidden="1">Dati!$C$2:$C$565</definedName>
    <definedName name="h">#REF!</definedName>
    <definedName name="Print_Area" localSheetId="2">'CE 118'!$A$1:$A$111</definedName>
    <definedName name="Print_Area" localSheetId="1">'Modello CE'!$A$1:$C$564</definedName>
    <definedName name="Print_Area" localSheetId="3">'Schema 118'!$A$1:$G$119</definedName>
    <definedName name="Print_Titles" localSheetId="2">'CE 118'!#REF!</definedName>
    <definedName name="Print_Titles" localSheetId="1">'Modello CE'!$1:$1</definedName>
    <definedName name="Print_Titles" localSheetId="3">'Schema 118'!$1:$5</definedName>
    <definedName name="_xlnm.Print_Titles" localSheetId="1">'Modello CE'!$1:$1</definedName>
    <definedName name="_xlnm.Print_Titles" localSheetId="3">'Schema 118'!$1:$5</definedName>
  </definedNames>
  <calcPr calcId="162913"/>
</workbook>
</file>

<file path=xl/calcChain.xml><?xml version="1.0" encoding="utf-8"?>
<calcChain xmlns="http://schemas.openxmlformats.org/spreadsheetml/2006/main">
  <c r="E553" i="7" l="1"/>
  <c r="E540" i="7"/>
  <c r="E498" i="7"/>
  <c r="E492" i="7"/>
  <c r="E469" i="7"/>
  <c r="E136" i="7"/>
  <c r="E2" i="7"/>
  <c r="I92" i="13"/>
  <c r="J92" i="13"/>
  <c r="I97" i="13"/>
  <c r="J97" i="13" s="1"/>
  <c r="I108" i="13"/>
  <c r="J108" i="13"/>
  <c r="I87" i="13"/>
  <c r="J87" i="13" s="1"/>
  <c r="I35" i="13"/>
  <c r="J35" i="13" s="1"/>
  <c r="C567" i="12" l="1"/>
  <c r="C562" i="7" l="1"/>
  <c r="E562" i="7" s="1"/>
  <c r="C561" i="7"/>
  <c r="E561" i="7" s="1"/>
  <c r="C560" i="7"/>
  <c r="E560" i="7" s="1"/>
  <c r="C558" i="7"/>
  <c r="E558" i="7" s="1"/>
  <c r="C557" i="7"/>
  <c r="E557" i="7" s="1"/>
  <c r="C556" i="7"/>
  <c r="E556" i="7" s="1"/>
  <c r="C555" i="7"/>
  <c r="E555" i="7" s="1"/>
  <c r="C550" i="7"/>
  <c r="E550" i="7" s="1"/>
  <c r="C549" i="7"/>
  <c r="E549" i="7" s="1"/>
  <c r="C548" i="7"/>
  <c r="E548" i="7" s="1"/>
  <c r="C547" i="7"/>
  <c r="E547" i="7" s="1"/>
  <c r="C546" i="7"/>
  <c r="E546" i="7" s="1"/>
  <c r="C545" i="7"/>
  <c r="E545" i="7" s="1"/>
  <c r="C544" i="7"/>
  <c r="E544" i="7" s="1"/>
  <c r="C543" i="7"/>
  <c r="E543" i="7" s="1"/>
  <c r="C541" i="7"/>
  <c r="E541" i="7" s="1"/>
  <c r="C538" i="7"/>
  <c r="E538" i="7" s="1"/>
  <c r="C537" i="7"/>
  <c r="E537" i="7" s="1"/>
  <c r="C536" i="7"/>
  <c r="E536" i="7" s="1"/>
  <c r="C535" i="7"/>
  <c r="E535" i="7" s="1"/>
  <c r="C534" i="7"/>
  <c r="E534" i="7" s="1"/>
  <c r="C533" i="7"/>
  <c r="E533" i="7" s="1"/>
  <c r="C532" i="7"/>
  <c r="E532" i="7" s="1"/>
  <c r="C531" i="7"/>
  <c r="E531" i="7" s="1"/>
  <c r="C529" i="7"/>
  <c r="E529" i="7" s="1"/>
  <c r="C527" i="7"/>
  <c r="E527" i="7" s="1"/>
  <c r="C526" i="7"/>
  <c r="E526" i="7" s="1"/>
  <c r="C523" i="7"/>
  <c r="E523" i="7" s="1"/>
  <c r="C522" i="7"/>
  <c r="E522" i="7" s="1"/>
  <c r="C520" i="7"/>
  <c r="E520" i="7" s="1"/>
  <c r="C518" i="7"/>
  <c r="E518" i="7" s="1"/>
  <c r="C517" i="7"/>
  <c r="E517" i="7" s="1"/>
  <c r="C516" i="7"/>
  <c r="E516" i="7" s="1"/>
  <c r="C515" i="7"/>
  <c r="E515" i="7" s="1"/>
  <c r="C514" i="7"/>
  <c r="E514" i="7" s="1"/>
  <c r="C513" i="7"/>
  <c r="E513" i="7" s="1"/>
  <c r="C512" i="7"/>
  <c r="E512" i="7" s="1"/>
  <c r="C511" i="7"/>
  <c r="E511" i="7" s="1"/>
  <c r="C509" i="7"/>
  <c r="E509" i="7" s="1"/>
  <c r="C507" i="7"/>
  <c r="E507" i="7" s="1"/>
  <c r="C506" i="7"/>
  <c r="E506" i="7" s="1"/>
  <c r="C505" i="7"/>
  <c r="E505" i="7" s="1"/>
  <c r="C504" i="7"/>
  <c r="E504" i="7" s="1"/>
  <c r="C503" i="7"/>
  <c r="E503" i="7" s="1"/>
  <c r="C502" i="7"/>
  <c r="E502" i="7" s="1"/>
  <c r="C501" i="7"/>
  <c r="E501" i="7" s="1"/>
  <c r="C499" i="7"/>
  <c r="E499" i="7" s="1"/>
  <c r="C496" i="7"/>
  <c r="E496" i="7" s="1"/>
  <c r="C494" i="7"/>
  <c r="E494" i="7" s="1"/>
  <c r="C490" i="7"/>
  <c r="E490" i="7" s="1"/>
  <c r="C489" i="7"/>
  <c r="E489" i="7" s="1"/>
  <c r="C488" i="7"/>
  <c r="E488" i="7" s="1"/>
  <c r="C486" i="7"/>
  <c r="E486" i="7" s="1"/>
  <c r="C485" i="7"/>
  <c r="E485" i="7" s="1"/>
  <c r="C483" i="7"/>
  <c r="E483" i="7" s="1"/>
  <c r="C482" i="7"/>
  <c r="E482" i="7" s="1"/>
  <c r="C481" i="7"/>
  <c r="E481" i="7" s="1"/>
  <c r="C479" i="7"/>
  <c r="E479" i="7" s="1"/>
  <c r="C478" i="7"/>
  <c r="E478" i="7" s="1"/>
  <c r="C477" i="7"/>
  <c r="E477" i="7" s="1"/>
  <c r="C476" i="7"/>
  <c r="E476" i="7" s="1"/>
  <c r="C475" i="7"/>
  <c r="E475" i="7" s="1"/>
  <c r="C473" i="7"/>
  <c r="E473" i="7" s="1"/>
  <c r="C472" i="7"/>
  <c r="E472" i="7" s="1"/>
  <c r="C471" i="7"/>
  <c r="E471" i="7" s="1"/>
  <c r="C467" i="7"/>
  <c r="E467" i="7" s="1"/>
  <c r="C466" i="7"/>
  <c r="E466" i="7" s="1"/>
  <c r="C465" i="7"/>
  <c r="E465" i="7" s="1"/>
  <c r="C464" i="7"/>
  <c r="E464" i="7" s="1"/>
  <c r="C463" i="7"/>
  <c r="E463" i="7" s="1"/>
  <c r="C462" i="7"/>
  <c r="E462" i="7" s="1"/>
  <c r="C461" i="7"/>
  <c r="E461" i="7" s="1"/>
  <c r="C460" i="7"/>
  <c r="E460" i="7" s="1"/>
  <c r="C459" i="7"/>
  <c r="E459" i="7" s="1"/>
  <c r="C458" i="7"/>
  <c r="E458" i="7" s="1"/>
  <c r="C456" i="7"/>
  <c r="E456" i="7" s="1"/>
  <c r="C455" i="7"/>
  <c r="E455" i="7" s="1"/>
  <c r="C454" i="7"/>
  <c r="E454" i="7" s="1"/>
  <c r="C453" i="7"/>
  <c r="E453" i="7" s="1"/>
  <c r="C452" i="7"/>
  <c r="E452" i="7" s="1"/>
  <c r="C451" i="7"/>
  <c r="E451" i="7" s="1"/>
  <c r="C449" i="7"/>
  <c r="E449" i="7" s="1"/>
  <c r="C448" i="7"/>
  <c r="E448" i="7" s="1"/>
  <c r="C447" i="7"/>
  <c r="E447" i="7" s="1"/>
  <c r="C446" i="7"/>
  <c r="E446" i="7" s="1"/>
  <c r="C445" i="7"/>
  <c r="E445" i="7" s="1"/>
  <c r="C444" i="7"/>
  <c r="E444" i="7" s="1"/>
  <c r="C443" i="7"/>
  <c r="E443" i="7" s="1"/>
  <c r="C442" i="7"/>
  <c r="E442" i="7" s="1"/>
  <c r="C439" i="7"/>
  <c r="E439" i="7" s="1"/>
  <c r="C438" i="7"/>
  <c r="E438" i="7" s="1"/>
  <c r="C437" i="7"/>
  <c r="E437" i="7" s="1"/>
  <c r="C436" i="7"/>
  <c r="E436" i="7" s="1"/>
  <c r="C435" i="7"/>
  <c r="E435" i="7" s="1"/>
  <c r="C434" i="7"/>
  <c r="E434" i="7" s="1"/>
  <c r="C432" i="7"/>
  <c r="E432" i="7" s="1"/>
  <c r="C431" i="7"/>
  <c r="E431" i="7" s="1"/>
  <c r="C430" i="7"/>
  <c r="E430" i="7" s="1"/>
  <c r="C429" i="7"/>
  <c r="E429" i="7" s="1"/>
  <c r="C428" i="7"/>
  <c r="E428" i="7" s="1"/>
  <c r="C427" i="7"/>
  <c r="E427" i="7" s="1"/>
  <c r="C426" i="7"/>
  <c r="E426" i="7" s="1"/>
  <c r="C425" i="7"/>
  <c r="E425" i="7" s="1"/>
  <c r="C422" i="7"/>
  <c r="E422" i="7" s="1"/>
  <c r="C421" i="7"/>
  <c r="E421" i="7" s="1"/>
  <c r="C419" i="7"/>
  <c r="E419" i="7" s="1"/>
  <c r="C418" i="7"/>
  <c r="E418" i="7" s="1"/>
  <c r="C417" i="7"/>
  <c r="E417" i="7" s="1"/>
  <c r="C414" i="7"/>
  <c r="E414" i="7" s="1"/>
  <c r="C412" i="7"/>
  <c r="E412" i="7" s="1"/>
  <c r="C411" i="7"/>
  <c r="E411" i="7" s="1"/>
  <c r="C410" i="7"/>
  <c r="E410" i="7" s="1"/>
  <c r="C409" i="7"/>
  <c r="E409" i="7" s="1"/>
  <c r="C407" i="7"/>
  <c r="E407" i="7" s="1"/>
  <c r="C406" i="7"/>
  <c r="E406" i="7" s="1"/>
  <c r="C404" i="7"/>
  <c r="E404" i="7" s="1"/>
  <c r="C403" i="7"/>
  <c r="E403" i="7" s="1"/>
  <c r="C402" i="7"/>
  <c r="E402" i="7" s="1"/>
  <c r="C400" i="7"/>
  <c r="E400" i="7" s="1"/>
  <c r="C399" i="7"/>
  <c r="E399" i="7" s="1"/>
  <c r="C398" i="7"/>
  <c r="E398" i="7" s="1"/>
  <c r="C395" i="7"/>
  <c r="E395" i="7" s="1"/>
  <c r="C394" i="7"/>
  <c r="E394" i="7" s="1"/>
  <c r="C393" i="7"/>
  <c r="E393" i="7" s="1"/>
  <c r="C391" i="7"/>
  <c r="E391" i="7" s="1"/>
  <c r="C390" i="7"/>
  <c r="E390" i="7" s="1"/>
  <c r="C389" i="7"/>
  <c r="E389" i="7" s="1"/>
  <c r="C386" i="7"/>
  <c r="E386" i="7" s="1"/>
  <c r="C385" i="7"/>
  <c r="E385" i="7" s="1"/>
  <c r="C384" i="7"/>
  <c r="E384" i="7" s="1"/>
  <c r="C382" i="7"/>
  <c r="E382" i="7" s="1"/>
  <c r="C381" i="7"/>
  <c r="E381" i="7" s="1"/>
  <c r="C380" i="7"/>
  <c r="E380" i="7" s="1"/>
  <c r="C377" i="7"/>
  <c r="E377" i="7" s="1"/>
  <c r="C376" i="7"/>
  <c r="E376" i="7" s="1"/>
  <c r="C375" i="7"/>
  <c r="E375" i="7" s="1"/>
  <c r="C373" i="7"/>
  <c r="E373" i="7" s="1"/>
  <c r="C372" i="7"/>
  <c r="E372" i="7" s="1"/>
  <c r="C371" i="7"/>
  <c r="E371" i="7" s="1"/>
  <c r="C369" i="7"/>
  <c r="E369" i="7" s="1"/>
  <c r="C368" i="7"/>
  <c r="E368" i="7" s="1"/>
  <c r="C367" i="7"/>
  <c r="E367" i="7" s="1"/>
  <c r="C362" i="7"/>
  <c r="E362" i="7" s="1"/>
  <c r="C361" i="7"/>
  <c r="E361" i="7" s="1"/>
  <c r="C360" i="7"/>
  <c r="E360" i="7" s="1"/>
  <c r="C359" i="7"/>
  <c r="E359" i="7" s="1"/>
  <c r="C357" i="7"/>
  <c r="E357" i="7" s="1"/>
  <c r="C356" i="7"/>
  <c r="E356" i="7" s="1"/>
  <c r="C354" i="7"/>
  <c r="E354" i="7" s="1"/>
  <c r="C352" i="7"/>
  <c r="E352" i="7" s="1"/>
  <c r="C351" i="7"/>
  <c r="E351" i="7" s="1"/>
  <c r="C350" i="7"/>
  <c r="E350" i="7" s="1"/>
  <c r="C349" i="7"/>
  <c r="E349" i="7" s="1"/>
  <c r="C348" i="7"/>
  <c r="E348" i="7" s="1"/>
  <c r="C347" i="7"/>
  <c r="E347" i="7" s="1"/>
  <c r="C346" i="7"/>
  <c r="E346" i="7" s="1"/>
  <c r="C344" i="7"/>
  <c r="E344" i="7" s="1"/>
  <c r="C343" i="7"/>
  <c r="E343" i="7" s="1"/>
  <c r="C341" i="7"/>
  <c r="E341" i="7" s="1"/>
  <c r="C340" i="7"/>
  <c r="E340" i="7" s="1"/>
  <c r="C339" i="7"/>
  <c r="E339" i="7" s="1"/>
  <c r="C337" i="7"/>
  <c r="E337" i="7" s="1"/>
  <c r="C336" i="7"/>
  <c r="E336" i="7" s="1"/>
  <c r="C335" i="7"/>
  <c r="E335" i="7" s="1"/>
  <c r="C334" i="7"/>
  <c r="E334" i="7" s="1"/>
  <c r="C333" i="7"/>
  <c r="E333" i="7" s="1"/>
  <c r="C332" i="7"/>
  <c r="E332" i="7" s="1"/>
  <c r="C330" i="7"/>
  <c r="E330" i="7" s="1"/>
  <c r="C329" i="7"/>
  <c r="E329" i="7" s="1"/>
  <c r="C327" i="7"/>
  <c r="E327" i="7" s="1"/>
  <c r="C326" i="7"/>
  <c r="E326" i="7" s="1"/>
  <c r="C325" i="7"/>
  <c r="E325" i="7" s="1"/>
  <c r="C323" i="7"/>
  <c r="E323" i="7" s="1"/>
  <c r="C322" i="7"/>
  <c r="E322" i="7" s="1"/>
  <c r="C320" i="7"/>
  <c r="E320" i="7" s="1"/>
  <c r="C319" i="7"/>
  <c r="E319" i="7" s="1"/>
  <c r="C318" i="7"/>
  <c r="E318" i="7" s="1"/>
  <c r="C317" i="7"/>
  <c r="E317" i="7" s="1"/>
  <c r="C316" i="7"/>
  <c r="E316" i="7" s="1"/>
  <c r="C315" i="7"/>
  <c r="E315" i="7" s="1"/>
  <c r="C314" i="7"/>
  <c r="E314" i="7" s="1"/>
  <c r="C313" i="7"/>
  <c r="E313" i="7" s="1"/>
  <c r="C312" i="7"/>
  <c r="E312" i="7" s="1"/>
  <c r="C310" i="7"/>
  <c r="E310" i="7" s="1"/>
  <c r="C309" i="7"/>
  <c r="E309" i="7" s="1"/>
  <c r="C306" i="7"/>
  <c r="E306" i="7" s="1"/>
  <c r="C305" i="7"/>
  <c r="E305" i="7" s="1"/>
  <c r="C304" i="7"/>
  <c r="E304" i="7" s="1"/>
  <c r="C303" i="7"/>
  <c r="E303" i="7" s="1"/>
  <c r="C302" i="7"/>
  <c r="E302" i="7" s="1"/>
  <c r="C301" i="7"/>
  <c r="E301" i="7" s="1"/>
  <c r="C300" i="7"/>
  <c r="E300" i="7" s="1"/>
  <c r="C299" i="7"/>
  <c r="E299" i="7" s="1"/>
  <c r="C297" i="7"/>
  <c r="E297" i="7" s="1"/>
  <c r="C296" i="7"/>
  <c r="E296" i="7" s="1"/>
  <c r="C295" i="7"/>
  <c r="E295" i="7" s="1"/>
  <c r="C293" i="7"/>
  <c r="E293" i="7" s="1"/>
  <c r="C292" i="7"/>
  <c r="E292" i="7" s="1"/>
  <c r="C291" i="7"/>
  <c r="E291" i="7" s="1"/>
  <c r="C290" i="7"/>
  <c r="E290" i="7" s="1"/>
  <c r="C289" i="7"/>
  <c r="E289" i="7" s="1"/>
  <c r="C288" i="7"/>
  <c r="E288" i="7" s="1"/>
  <c r="C286" i="7"/>
  <c r="E286" i="7" s="1"/>
  <c r="C285" i="7"/>
  <c r="E285" i="7" s="1"/>
  <c r="C283" i="7"/>
  <c r="E283" i="7" s="1"/>
  <c r="C282" i="7"/>
  <c r="E282" i="7" s="1"/>
  <c r="C281" i="7"/>
  <c r="E281" i="7" s="1"/>
  <c r="C280" i="7"/>
  <c r="E280" i="7" s="1"/>
  <c r="C279" i="7"/>
  <c r="E279" i="7" s="1"/>
  <c r="C278" i="7"/>
  <c r="E278" i="7" s="1"/>
  <c r="C277" i="7"/>
  <c r="E277" i="7" s="1"/>
  <c r="C275" i="7"/>
  <c r="E275" i="7" s="1"/>
  <c r="C274" i="7"/>
  <c r="E274" i="7" s="1"/>
  <c r="C273" i="7"/>
  <c r="E273" i="7" s="1"/>
  <c r="C272" i="7"/>
  <c r="E272" i="7" s="1"/>
  <c r="C271" i="7"/>
  <c r="E271" i="7" s="1"/>
  <c r="C270" i="7"/>
  <c r="E270" i="7" s="1"/>
  <c r="C269" i="7"/>
  <c r="E269" i="7" s="1"/>
  <c r="C267" i="7"/>
  <c r="E267" i="7" s="1"/>
  <c r="C266" i="7"/>
  <c r="E266" i="7" s="1"/>
  <c r="C265" i="7"/>
  <c r="E265" i="7" s="1"/>
  <c r="C264" i="7"/>
  <c r="E264" i="7" s="1"/>
  <c r="C263" i="7"/>
  <c r="E263" i="7" s="1"/>
  <c r="C262" i="7"/>
  <c r="E262" i="7" s="1"/>
  <c r="C261" i="7"/>
  <c r="E261" i="7" s="1"/>
  <c r="C258" i="7"/>
  <c r="E258" i="7" s="1"/>
  <c r="C257" i="7"/>
  <c r="E257" i="7" s="1"/>
  <c r="C256" i="7"/>
  <c r="E256" i="7" s="1"/>
  <c r="C255" i="7"/>
  <c r="E255" i="7" s="1"/>
  <c r="C253" i="7"/>
  <c r="E253" i="7" s="1"/>
  <c r="C252" i="7"/>
  <c r="E252" i="7" s="1"/>
  <c r="C251" i="7"/>
  <c r="E251" i="7" s="1"/>
  <c r="C250" i="7"/>
  <c r="E250" i="7" s="1"/>
  <c r="C249" i="7"/>
  <c r="E249" i="7" s="1"/>
  <c r="C247" i="7"/>
  <c r="E247" i="7" s="1"/>
  <c r="C246" i="7"/>
  <c r="E246" i="7" s="1"/>
  <c r="C245" i="7"/>
  <c r="E245" i="7" s="1"/>
  <c r="C244" i="7"/>
  <c r="E244" i="7" s="1"/>
  <c r="C243" i="7"/>
  <c r="E243" i="7" s="1"/>
  <c r="C242" i="7"/>
  <c r="E242" i="7" s="1"/>
  <c r="C240" i="7"/>
  <c r="E240" i="7" s="1"/>
  <c r="C239" i="7"/>
  <c r="E239" i="7" s="1"/>
  <c r="C238" i="7"/>
  <c r="E238" i="7" s="1"/>
  <c r="C237" i="7"/>
  <c r="E237" i="7" s="1"/>
  <c r="C236" i="7"/>
  <c r="E236" i="7" s="1"/>
  <c r="C234" i="7"/>
  <c r="E234" i="7" s="1"/>
  <c r="C233" i="7"/>
  <c r="E233" i="7" s="1"/>
  <c r="C232" i="7"/>
  <c r="E232" i="7" s="1"/>
  <c r="C231" i="7"/>
  <c r="E231" i="7" s="1"/>
  <c r="C230" i="7"/>
  <c r="E230" i="7" s="1"/>
  <c r="C228" i="7"/>
  <c r="E228" i="7" s="1"/>
  <c r="C227" i="7"/>
  <c r="E227" i="7" s="1"/>
  <c r="C226" i="7"/>
  <c r="E226" i="7" s="1"/>
  <c r="C224" i="7"/>
  <c r="E224" i="7" s="1"/>
  <c r="C223" i="7"/>
  <c r="E223" i="7" s="1"/>
  <c r="C222" i="7"/>
  <c r="E222" i="7" s="1"/>
  <c r="C221" i="7"/>
  <c r="E221" i="7" s="1"/>
  <c r="C219" i="7"/>
  <c r="E219" i="7" s="1"/>
  <c r="C218" i="7"/>
  <c r="E218" i="7" s="1"/>
  <c r="C217" i="7"/>
  <c r="E217" i="7" s="1"/>
  <c r="C216" i="7"/>
  <c r="E216" i="7" s="1"/>
  <c r="C214" i="7"/>
  <c r="E214" i="7" s="1"/>
  <c r="C213" i="7"/>
  <c r="E213" i="7" s="1"/>
  <c r="C212" i="7"/>
  <c r="E212" i="7" s="1"/>
  <c r="C211" i="7"/>
  <c r="E211" i="7" s="1"/>
  <c r="C210" i="7"/>
  <c r="E210" i="7" s="1"/>
  <c r="C208" i="7"/>
  <c r="E208" i="7" s="1"/>
  <c r="C207" i="7"/>
  <c r="E207" i="7" s="1"/>
  <c r="C206" i="7"/>
  <c r="E206" i="7" s="1"/>
  <c r="C205" i="7"/>
  <c r="E205" i="7" s="1"/>
  <c r="C204" i="7"/>
  <c r="E204" i="7" s="1"/>
  <c r="C203" i="7"/>
  <c r="E203" i="7" s="1"/>
  <c r="C202" i="7"/>
  <c r="E202" i="7" s="1"/>
  <c r="C201" i="7"/>
  <c r="E201" i="7" s="1"/>
  <c r="C200" i="7"/>
  <c r="E200" i="7" s="1"/>
  <c r="C199" i="7"/>
  <c r="E199" i="7" s="1"/>
  <c r="C197" i="7"/>
  <c r="E197" i="7" s="1"/>
  <c r="C196" i="7"/>
  <c r="E196" i="7" s="1"/>
  <c r="C195" i="7"/>
  <c r="E195" i="7" s="1"/>
  <c r="C194" i="7"/>
  <c r="E194" i="7" s="1"/>
  <c r="C193" i="7"/>
  <c r="E193" i="7" s="1"/>
  <c r="C192" i="7"/>
  <c r="E192" i="7" s="1"/>
  <c r="C191" i="7"/>
  <c r="E191" i="7" s="1"/>
  <c r="C189" i="7"/>
  <c r="E189" i="7" s="1"/>
  <c r="C188" i="7"/>
  <c r="E188" i="7" s="1"/>
  <c r="C187" i="7"/>
  <c r="E187" i="7" s="1"/>
  <c r="C185" i="7"/>
  <c r="E185" i="7" s="1"/>
  <c r="C184" i="7"/>
  <c r="E184" i="7" s="1"/>
  <c r="C183" i="7"/>
  <c r="E183" i="7" s="1"/>
  <c r="C182" i="7"/>
  <c r="E182" i="7" s="1"/>
  <c r="C181" i="7"/>
  <c r="E181" i="7" s="1"/>
  <c r="C180" i="7"/>
  <c r="E180" i="7" s="1"/>
  <c r="C175" i="7"/>
  <c r="E175" i="7" s="1"/>
  <c r="C174" i="7"/>
  <c r="E174" i="7" s="1"/>
  <c r="C173" i="7"/>
  <c r="E173" i="7" s="1"/>
  <c r="C172" i="7"/>
  <c r="E172" i="7" s="1"/>
  <c r="C171" i="7"/>
  <c r="E171" i="7" s="1"/>
  <c r="C170" i="7"/>
  <c r="E170" i="7" s="1"/>
  <c r="C169" i="7"/>
  <c r="E169" i="7" s="1"/>
  <c r="C167" i="7"/>
  <c r="E167" i="7" s="1"/>
  <c r="C166" i="7"/>
  <c r="E166" i="7" s="1"/>
  <c r="C165" i="7"/>
  <c r="E165" i="7" s="1"/>
  <c r="C164" i="7"/>
  <c r="E164" i="7" s="1"/>
  <c r="C163" i="7"/>
  <c r="E163" i="7" s="1"/>
  <c r="C162" i="7"/>
  <c r="E162" i="7" s="1"/>
  <c r="C161" i="7"/>
  <c r="E161" i="7" s="1"/>
  <c r="C159" i="7"/>
  <c r="E159" i="7" s="1"/>
  <c r="C158" i="7"/>
  <c r="E158" i="7" s="1"/>
  <c r="C157" i="7"/>
  <c r="E157" i="7" s="1"/>
  <c r="C156" i="7"/>
  <c r="E156" i="7" s="1"/>
  <c r="C155" i="7"/>
  <c r="E155" i="7" s="1"/>
  <c r="C154" i="7"/>
  <c r="E154" i="7" s="1"/>
  <c r="C153" i="7"/>
  <c r="E153" i="7" s="1"/>
  <c r="C152" i="7"/>
  <c r="E152" i="7" s="1"/>
  <c r="C150" i="7"/>
  <c r="E150" i="7" s="1"/>
  <c r="C149" i="7"/>
  <c r="E149" i="7" s="1"/>
  <c r="C148" i="7"/>
  <c r="E148" i="7" s="1"/>
  <c r="C146" i="7"/>
  <c r="E146" i="7" s="1"/>
  <c r="C145" i="7"/>
  <c r="E145" i="7" s="1"/>
  <c r="C144" i="7"/>
  <c r="E144" i="7" s="1"/>
  <c r="C142" i="7"/>
  <c r="E142" i="7" s="1"/>
  <c r="C141" i="7"/>
  <c r="E141" i="7" s="1"/>
  <c r="C140" i="7"/>
  <c r="E140" i="7" s="1"/>
  <c r="C134" i="7"/>
  <c r="E134" i="7" s="1"/>
  <c r="C133" i="7"/>
  <c r="E133" i="7" s="1"/>
  <c r="C132" i="7"/>
  <c r="E132" i="7" s="1"/>
  <c r="C130" i="7"/>
  <c r="E130" i="7" s="1"/>
  <c r="C129" i="7"/>
  <c r="E129" i="7" s="1"/>
  <c r="C128" i="7"/>
  <c r="E128" i="7" s="1"/>
  <c r="C127" i="7"/>
  <c r="E127" i="7" s="1"/>
  <c r="C126" i="7"/>
  <c r="E126" i="7" s="1"/>
  <c r="C125" i="7"/>
  <c r="E125" i="7" s="1"/>
  <c r="C124" i="7"/>
  <c r="E124" i="7" s="1"/>
  <c r="C122" i="7"/>
  <c r="E122" i="7" s="1"/>
  <c r="C121" i="7"/>
  <c r="E121" i="7" s="1"/>
  <c r="C120" i="7"/>
  <c r="E120" i="7" s="1"/>
  <c r="C118" i="7"/>
  <c r="E118" i="7" s="1"/>
  <c r="C117" i="7"/>
  <c r="E117" i="7" s="1"/>
  <c r="C116" i="7"/>
  <c r="E116" i="7" s="1"/>
  <c r="C115" i="7"/>
  <c r="E115" i="7" s="1"/>
  <c r="C114" i="7"/>
  <c r="E114" i="7" s="1"/>
  <c r="C111" i="7"/>
  <c r="E111" i="7" s="1"/>
  <c r="C110" i="7"/>
  <c r="E110" i="7" s="1"/>
  <c r="C109" i="7"/>
  <c r="E109" i="7" s="1"/>
  <c r="C107" i="7"/>
  <c r="E107" i="7" s="1"/>
  <c r="C106" i="7"/>
  <c r="E106" i="7" s="1"/>
  <c r="C105" i="7"/>
  <c r="E105" i="7" s="1"/>
  <c r="C104" i="7"/>
  <c r="E104" i="7" s="1"/>
  <c r="C102" i="7"/>
  <c r="E102" i="7" s="1"/>
  <c r="C101" i="7"/>
  <c r="E101" i="7" s="1"/>
  <c r="C99" i="7"/>
  <c r="E99" i="7" s="1"/>
  <c r="C97" i="7"/>
  <c r="E97" i="7" s="1"/>
  <c r="C96" i="7"/>
  <c r="E96" i="7" s="1"/>
  <c r="C95" i="7"/>
  <c r="E95" i="7" s="1"/>
  <c r="C94" i="7"/>
  <c r="E94" i="7" s="1"/>
  <c r="C93" i="7"/>
  <c r="E93" i="7" s="1"/>
  <c r="C92" i="7"/>
  <c r="E92" i="7" s="1"/>
  <c r="C91" i="7"/>
  <c r="E91" i="7" s="1"/>
  <c r="C89" i="7"/>
  <c r="E89" i="7" s="1"/>
  <c r="C88" i="7"/>
  <c r="E88" i="7" s="1"/>
  <c r="C87" i="7"/>
  <c r="E87" i="7" s="1"/>
  <c r="C86" i="7"/>
  <c r="E86" i="7" s="1"/>
  <c r="C85" i="7"/>
  <c r="E85" i="7" s="1"/>
  <c r="C84" i="7"/>
  <c r="E84" i="7" s="1"/>
  <c r="C82" i="7"/>
  <c r="E82" i="7" s="1"/>
  <c r="C81" i="7"/>
  <c r="E81" i="7" s="1"/>
  <c r="C80" i="7"/>
  <c r="E80" i="7" s="1"/>
  <c r="C79" i="7"/>
  <c r="E79" i="7" s="1"/>
  <c r="C78" i="7"/>
  <c r="E78" i="7" s="1"/>
  <c r="C76" i="7"/>
  <c r="E76" i="7" s="1"/>
  <c r="C75" i="7"/>
  <c r="E75" i="7" s="1"/>
  <c r="C74" i="7"/>
  <c r="E74" i="7" s="1"/>
  <c r="C73" i="7"/>
  <c r="E73" i="7" s="1"/>
  <c r="C72" i="7"/>
  <c r="E72" i="7" s="1"/>
  <c r="C71" i="7"/>
  <c r="E71" i="7" s="1"/>
  <c r="C70" i="7"/>
  <c r="E70" i="7" s="1"/>
  <c r="C69" i="7"/>
  <c r="E69" i="7" s="1"/>
  <c r="C68" i="7"/>
  <c r="E68" i="7" s="1"/>
  <c r="C67" i="7"/>
  <c r="E67" i="7" s="1"/>
  <c r="C66" i="7"/>
  <c r="E66" i="7" s="1"/>
  <c r="C65" i="7"/>
  <c r="E65" i="7" s="1"/>
  <c r="C64" i="7"/>
  <c r="E64" i="7" s="1"/>
  <c r="C63" i="7"/>
  <c r="E63" i="7" s="1"/>
  <c r="C61" i="7"/>
  <c r="E61" i="7" s="1"/>
  <c r="C60" i="7"/>
  <c r="E60" i="7" s="1"/>
  <c r="C59" i="7"/>
  <c r="E59" i="7" s="1"/>
  <c r="C58" i="7"/>
  <c r="E58" i="7" s="1"/>
  <c r="C57" i="7"/>
  <c r="E57" i="7" s="1"/>
  <c r="C56" i="7"/>
  <c r="E56" i="7" s="1"/>
  <c r="C55" i="7"/>
  <c r="E55" i="7" s="1"/>
  <c r="C54" i="7"/>
  <c r="E54" i="7" s="1"/>
  <c r="C53" i="7"/>
  <c r="E53" i="7" s="1"/>
  <c r="C52" i="7"/>
  <c r="E52" i="7" s="1"/>
  <c r="C51" i="7"/>
  <c r="E51" i="7" s="1"/>
  <c r="C50" i="7"/>
  <c r="E50" i="7" s="1"/>
  <c r="C49" i="7"/>
  <c r="E49" i="7" s="1"/>
  <c r="C48" i="7"/>
  <c r="E48" i="7" s="1"/>
  <c r="C47" i="7"/>
  <c r="E47" i="7" s="1"/>
  <c r="C46" i="7"/>
  <c r="E46" i="7" s="1"/>
  <c r="C42" i="7"/>
  <c r="E42" i="7" s="1"/>
  <c r="C41" i="7"/>
  <c r="E41" i="7" s="1"/>
  <c r="C40" i="7"/>
  <c r="E40" i="7" s="1"/>
  <c r="C39" i="7"/>
  <c r="E39" i="7" s="1"/>
  <c r="C38" i="7"/>
  <c r="E38" i="7" s="1"/>
  <c r="C36" i="7"/>
  <c r="E36" i="7" s="1"/>
  <c r="C35" i="7"/>
  <c r="E35" i="7" s="1"/>
  <c r="C33" i="7"/>
  <c r="E33" i="7" s="1"/>
  <c r="C32" i="7"/>
  <c r="E32" i="7" s="1"/>
  <c r="C31" i="7"/>
  <c r="E31" i="7" s="1"/>
  <c r="C30" i="7"/>
  <c r="E30" i="7" s="1"/>
  <c r="C29" i="7"/>
  <c r="E29" i="7" s="1"/>
  <c r="C27" i="7"/>
  <c r="E27" i="7" s="1"/>
  <c r="C26" i="7"/>
  <c r="E26" i="7" s="1"/>
  <c r="C25" i="7"/>
  <c r="E25" i="7" s="1"/>
  <c r="C24" i="7"/>
  <c r="E24" i="7" s="1"/>
  <c r="C23" i="7"/>
  <c r="E23" i="7" s="1"/>
  <c r="C21" i="7"/>
  <c r="E21" i="7" s="1"/>
  <c r="C20" i="7"/>
  <c r="E20" i="7" s="1"/>
  <c r="C18" i="7"/>
  <c r="E18" i="7" s="1"/>
  <c r="C17" i="7"/>
  <c r="E17" i="7" s="1"/>
  <c r="C16" i="7"/>
  <c r="E16" i="7" s="1"/>
  <c r="C15" i="7"/>
  <c r="E15" i="7" s="1"/>
  <c r="C12" i="7"/>
  <c r="E12" i="7" s="1"/>
  <c r="C11" i="7"/>
  <c r="E11" i="7" s="1"/>
  <c r="C10" i="7"/>
  <c r="E10" i="7" s="1"/>
  <c r="C9" i="7"/>
  <c r="E9" i="7" s="1"/>
  <c r="C7" i="7"/>
  <c r="E7" i="7" s="1"/>
  <c r="C6" i="7"/>
  <c r="E6" i="7" s="1"/>
  <c r="C22" i="7" l="1"/>
  <c r="E22" i="7" s="1"/>
  <c r="C103" i="7"/>
  <c r="E103" i="7" s="1"/>
  <c r="C113" i="7" l="1"/>
  <c r="C143" i="7"/>
  <c r="C179" i="7"/>
  <c r="C198" i="7"/>
  <c r="C241" i="7"/>
  <c r="E241" i="7" s="1"/>
  <c r="C324" i="7"/>
  <c r="E324" i="7" s="1"/>
  <c r="C355" i="7"/>
  <c r="E355" i="7" s="1"/>
  <c r="C530" i="7"/>
  <c r="C37" i="7"/>
  <c r="E37" i="7" s="1"/>
  <c r="C276" i="7"/>
  <c r="E276" i="7" s="1"/>
  <c r="C331" i="7"/>
  <c r="E331" i="7" s="1"/>
  <c r="C90" i="7"/>
  <c r="E90" i="7" s="1"/>
  <c r="C131" i="7"/>
  <c r="E131" i="7" s="1"/>
  <c r="C160" i="7"/>
  <c r="E160" i="7" s="1"/>
  <c r="C186" i="7"/>
  <c r="E186" i="7" s="1"/>
  <c r="C209" i="7"/>
  <c r="E209" i="7" s="1"/>
  <c r="C248" i="7"/>
  <c r="E248" i="7" s="1"/>
  <c r="C268" i="7"/>
  <c r="E268" i="7" s="1"/>
  <c r="C510" i="7"/>
  <c r="C123" i="7"/>
  <c r="E123" i="7" s="1"/>
  <c r="C147" i="7"/>
  <c r="E147" i="7" s="1"/>
  <c r="C235" i="7"/>
  <c r="E235" i="7" s="1"/>
  <c r="C254" i="7"/>
  <c r="E254" i="7" s="1"/>
  <c r="C298" i="7"/>
  <c r="E298" i="7" s="1"/>
  <c r="C408" i="7"/>
  <c r="C441" i="7"/>
  <c r="E441" i="7" s="1"/>
  <c r="C450" i="7"/>
  <c r="E450" i="7" s="1"/>
  <c r="C491" i="7"/>
  <c r="E491" i="7" s="1"/>
  <c r="C260" i="7"/>
  <c r="C420" i="7"/>
  <c r="E420" i="7" s="1"/>
  <c r="C416" i="7"/>
  <c r="C77" i="7"/>
  <c r="C100" i="7"/>
  <c r="E100" i="7" s="1"/>
  <c r="C220" i="7"/>
  <c r="E220" i="7" s="1"/>
  <c r="C370" i="7"/>
  <c r="E370" i="7" s="1"/>
  <c r="C383" i="7"/>
  <c r="E383" i="7" s="1"/>
  <c r="C424" i="7"/>
  <c r="E424" i="7" s="1"/>
  <c r="C168" i="7"/>
  <c r="E168" i="7" s="1"/>
  <c r="C392" i="7"/>
  <c r="E392" i="7" s="1"/>
  <c r="C45" i="7"/>
  <c r="E45" i="7" s="1"/>
  <c r="C151" i="7"/>
  <c r="E151" i="7" s="1"/>
  <c r="C379" i="7"/>
  <c r="E379" i="7" s="1"/>
  <c r="C19" i="7"/>
  <c r="E19" i="7" s="1"/>
  <c r="C119" i="7"/>
  <c r="E119" i="7" s="1"/>
  <c r="C294" i="7"/>
  <c r="E294" i="7" s="1"/>
  <c r="C311" i="7"/>
  <c r="E311" i="7" s="1"/>
  <c r="C388" i="7"/>
  <c r="E388" i="7" s="1"/>
  <c r="C484" i="7"/>
  <c r="E484" i="7" s="1"/>
  <c r="C525" i="7"/>
  <c r="E525" i="7" s="1"/>
  <c r="C559" i="7"/>
  <c r="E559" i="7" s="1"/>
  <c r="C342" i="7"/>
  <c r="E342" i="7" s="1"/>
  <c r="C358" i="7"/>
  <c r="E358" i="7" s="1"/>
  <c r="C366" i="7"/>
  <c r="E366" i="7" s="1"/>
  <c r="C433" i="7"/>
  <c r="E433" i="7" s="1"/>
  <c r="C457" i="7"/>
  <c r="E457" i="7" s="1"/>
  <c r="C554" i="7"/>
  <c r="E554" i="7" s="1"/>
  <c r="C28" i="7"/>
  <c r="E28" i="7" s="1"/>
  <c r="C83" i="7"/>
  <c r="E83" i="7" s="1"/>
  <c r="C108" i="7"/>
  <c r="E108" i="7" s="1"/>
  <c r="C338" i="7"/>
  <c r="E338" i="7" s="1"/>
  <c r="C345" i="7"/>
  <c r="E345" i="7" s="1"/>
  <c r="C401" i="7"/>
  <c r="E401" i="7" s="1"/>
  <c r="C474" i="7"/>
  <c r="E474" i="7" s="1"/>
  <c r="C500" i="7"/>
  <c r="C542" i="7"/>
  <c r="C8" i="7"/>
  <c r="E8" i="7" s="1"/>
  <c r="C14" i="7"/>
  <c r="E14" i="7" s="1"/>
  <c r="C34" i="7"/>
  <c r="E34" i="7" s="1"/>
  <c r="C215" i="7"/>
  <c r="E215" i="7" s="1"/>
  <c r="C229" i="7"/>
  <c r="C287" i="7"/>
  <c r="E287" i="7" s="1"/>
  <c r="C321" i="7"/>
  <c r="E321" i="7" s="1"/>
  <c r="C374" i="7"/>
  <c r="E374" i="7" s="1"/>
  <c r="C397" i="7"/>
  <c r="E397" i="7" s="1"/>
  <c r="C470" i="7"/>
  <c r="E470" i="7" s="1"/>
  <c r="C480" i="7"/>
  <c r="E480" i="7" s="1"/>
  <c r="C415" i="7" l="1"/>
  <c r="E416" i="7"/>
  <c r="C62" i="7"/>
  <c r="E62" i="7" s="1"/>
  <c r="E77" i="7"/>
  <c r="C497" i="7"/>
  <c r="E497" i="7" s="1"/>
  <c r="E500" i="7"/>
  <c r="C528" i="7"/>
  <c r="E528" i="7" s="1"/>
  <c r="E530" i="7"/>
  <c r="C259" i="7"/>
  <c r="E259" i="7" s="1"/>
  <c r="E260" i="7"/>
  <c r="C225" i="7"/>
  <c r="E225" i="7" s="1"/>
  <c r="E229" i="7"/>
  <c r="C190" i="7"/>
  <c r="E190" i="7" s="1"/>
  <c r="E198" i="7"/>
  <c r="C508" i="7"/>
  <c r="E508" i="7" s="1"/>
  <c r="E510" i="7"/>
  <c r="C178" i="7"/>
  <c r="E178" i="7" s="1"/>
  <c r="E179" i="7"/>
  <c r="C139" i="7"/>
  <c r="E139" i="7" s="1"/>
  <c r="E143" i="7"/>
  <c r="C539" i="7"/>
  <c r="E539" i="7" s="1"/>
  <c r="E542" i="7"/>
  <c r="C405" i="7"/>
  <c r="E405" i="7" s="1"/>
  <c r="E408" i="7"/>
  <c r="C112" i="7"/>
  <c r="E112" i="7" s="1"/>
  <c r="E113" i="7"/>
  <c r="C353" i="7"/>
  <c r="E353" i="7" s="1"/>
  <c r="C284" i="7"/>
  <c r="C308" i="7"/>
  <c r="E308" i="7" s="1"/>
  <c r="C387" i="7"/>
  <c r="E387" i="7" s="1"/>
  <c r="C328" i="7"/>
  <c r="E328" i="7" s="1"/>
  <c r="C440" i="7"/>
  <c r="E440" i="7" s="1"/>
  <c r="C5" i="7"/>
  <c r="C423" i="7"/>
  <c r="E423" i="7" s="1"/>
  <c r="C365" i="7"/>
  <c r="C563" i="7"/>
  <c r="E563" i="7" s="1"/>
  <c r="C378" i="7"/>
  <c r="E378" i="7" s="1"/>
  <c r="C98" i="7"/>
  <c r="E98" i="7" s="1"/>
  <c r="C13" i="7"/>
  <c r="E13" i="7" s="1"/>
  <c r="C396" i="7"/>
  <c r="E396" i="7" s="1"/>
  <c r="C138" i="7"/>
  <c r="C44" i="7"/>
  <c r="C487" i="7"/>
  <c r="E487" i="7" s="1"/>
  <c r="C524" i="7" l="1"/>
  <c r="C495" i="7"/>
  <c r="C177" i="7"/>
  <c r="E177" i="7" s="1"/>
  <c r="E284" i="7"/>
  <c r="C43" i="7"/>
  <c r="E43" i="7" s="1"/>
  <c r="E44" i="7"/>
  <c r="C137" i="7"/>
  <c r="E137" i="7" s="1"/>
  <c r="E138" i="7"/>
  <c r="C364" i="7"/>
  <c r="E364" i="7" s="1"/>
  <c r="E365" i="7"/>
  <c r="C4" i="7"/>
  <c r="E4" i="7" s="1"/>
  <c r="E5" i="7"/>
  <c r="C413" i="7"/>
  <c r="E413" i="7" s="1"/>
  <c r="E415" i="7"/>
  <c r="C3" i="7"/>
  <c r="C307" i="7"/>
  <c r="C363" i="7"/>
  <c r="E363" i="7" s="1"/>
  <c r="C135" i="7" l="1"/>
  <c r="E135" i="7" s="1"/>
  <c r="E3" i="7"/>
  <c r="C176" i="7"/>
  <c r="E176" i="7" s="1"/>
  <c r="E307" i="7"/>
  <c r="C493" i="7"/>
  <c r="E495" i="7"/>
  <c r="C521" i="7"/>
  <c r="E524" i="7"/>
  <c r="C468" i="7"/>
  <c r="C519" i="7" l="1"/>
  <c r="E519" i="7" s="1"/>
  <c r="E521" i="7"/>
  <c r="E493" i="7"/>
  <c r="C551" i="7"/>
  <c r="E551" i="7" s="1"/>
  <c r="C552" i="7"/>
  <c r="E468" i="7"/>
  <c r="B1" i="11"/>
  <c r="B88" i="11"/>
  <c r="B89" i="11"/>
  <c r="G110" i="13"/>
  <c r="I110" i="13" s="1"/>
  <c r="J110" i="13" s="1"/>
  <c r="G113" i="13"/>
  <c r="I113" i="13" s="1"/>
  <c r="J113" i="13" s="1"/>
  <c r="G115" i="13"/>
  <c r="I115" i="13" s="1"/>
  <c r="J115" i="13" s="1"/>
  <c r="B97" i="11"/>
  <c r="G99" i="13"/>
  <c r="I99" i="13" s="1"/>
  <c r="J99" i="13" s="1"/>
  <c r="G56" i="13"/>
  <c r="I56" i="13" s="1"/>
  <c r="J56" i="13" s="1"/>
  <c r="B68" i="11"/>
  <c r="B71" i="11"/>
  <c r="G77" i="13"/>
  <c r="I77" i="13" s="1"/>
  <c r="J77" i="13" s="1"/>
  <c r="B75" i="11"/>
  <c r="B26" i="11"/>
  <c r="G27" i="13"/>
  <c r="I27" i="13" s="1"/>
  <c r="J27" i="13" s="1"/>
  <c r="G21" i="13"/>
  <c r="I21" i="13" s="1"/>
  <c r="J21" i="13" s="1"/>
  <c r="G18" i="13"/>
  <c r="I18" i="13" s="1"/>
  <c r="J18" i="13" s="1"/>
  <c r="G19" i="13"/>
  <c r="I19" i="13" s="1"/>
  <c r="J19" i="13" s="1"/>
  <c r="B6" i="11"/>
  <c r="B7" i="11"/>
  <c r="G13" i="13"/>
  <c r="I13" i="13" s="1"/>
  <c r="J13" i="13" s="1"/>
  <c r="C564" i="7" l="1"/>
  <c r="E564" i="7" s="1"/>
  <c r="E552" i="7"/>
  <c r="G94" i="13"/>
  <c r="I94" i="13" s="1"/>
  <c r="J94" i="13" s="1"/>
  <c r="G69" i="13"/>
  <c r="I69" i="13" s="1"/>
  <c r="J69" i="13" s="1"/>
  <c r="G15" i="13"/>
  <c r="I15" i="13" s="1"/>
  <c r="J15" i="13" s="1"/>
  <c r="B14" i="11"/>
  <c r="B67" i="11"/>
  <c r="B51" i="11"/>
  <c r="B25" i="11"/>
  <c r="B108" i="11"/>
  <c r="G80" i="13"/>
  <c r="I80" i="13" s="1"/>
  <c r="J80" i="13" s="1"/>
  <c r="B109" i="11"/>
  <c r="G65" i="13"/>
  <c r="I65" i="13" s="1"/>
  <c r="J65" i="13" s="1"/>
  <c r="G11" i="13"/>
  <c r="I11" i="13" s="1"/>
  <c r="J11" i="13" s="1"/>
  <c r="G72" i="13"/>
  <c r="I72" i="13" s="1"/>
  <c r="J72" i="13" s="1"/>
  <c r="G102" i="13"/>
  <c r="I102" i="13" s="1"/>
  <c r="J102" i="13" s="1"/>
  <c r="G10" i="13"/>
  <c r="I10" i="13" s="1"/>
  <c r="J10" i="13" s="1"/>
  <c r="G30" i="13"/>
  <c r="I30" i="13" s="1"/>
  <c r="J30" i="13" s="1"/>
  <c r="B110" i="11"/>
  <c r="G12" i="13"/>
  <c r="I12" i="13" s="1"/>
  <c r="J12" i="13" s="1"/>
  <c r="B10" i="11"/>
  <c r="B5" i="11"/>
  <c r="G74" i="13"/>
  <c r="I74" i="13" s="1"/>
  <c r="J74" i="13" s="1"/>
  <c r="G64" i="13"/>
  <c r="I64" i="13" s="1"/>
  <c r="J64" i="13" s="1"/>
  <c r="G60" i="13"/>
  <c r="I60" i="13" s="1"/>
  <c r="J60" i="13" s="1"/>
  <c r="B53" i="11"/>
  <c r="B45" i="11"/>
  <c r="B84" i="11"/>
  <c r="G61" i="13"/>
  <c r="I61" i="13" s="1"/>
  <c r="J61" i="13" s="1"/>
  <c r="B13" i="11"/>
  <c r="G93" i="13"/>
  <c r="I93" i="13" s="1"/>
  <c r="J93" i="13" s="1"/>
  <c r="B24" i="11"/>
  <c r="B16" i="11"/>
  <c r="G76" i="13"/>
  <c r="G66" i="13"/>
  <c r="I66" i="13" s="1"/>
  <c r="J66" i="13" s="1"/>
  <c r="B60" i="11"/>
  <c r="B41" i="11"/>
  <c r="B98" i="11"/>
  <c r="B96" i="11" s="1"/>
  <c r="B90" i="11"/>
  <c r="B56" i="11"/>
  <c r="G31" i="13"/>
  <c r="I31" i="13" s="1"/>
  <c r="J31" i="13" s="1"/>
  <c r="B105" i="11"/>
  <c r="B18" i="11"/>
  <c r="G26" i="13"/>
  <c r="I26" i="13" s="1"/>
  <c r="J26" i="13" s="1"/>
  <c r="B72" i="11"/>
  <c r="B70" i="11" s="1"/>
  <c r="B55" i="11"/>
  <c r="B39" i="11"/>
  <c r="B76" i="11"/>
  <c r="G81" i="13"/>
  <c r="I81" i="13" s="1"/>
  <c r="J81" i="13" s="1"/>
  <c r="B63" i="11"/>
  <c r="B61" i="11"/>
  <c r="B59" i="11"/>
  <c r="B57" i="11"/>
  <c r="B47" i="11"/>
  <c r="G52" i="13"/>
  <c r="I52" i="13" s="1"/>
  <c r="J52" i="13" s="1"/>
  <c r="B44" i="11"/>
  <c r="B43" i="11"/>
  <c r="G48" i="13"/>
  <c r="I48" i="13" s="1"/>
  <c r="J48" i="13" s="1"/>
  <c r="G46" i="13"/>
  <c r="I46" i="13" s="1"/>
  <c r="J46" i="13" s="1"/>
  <c r="B33" i="11"/>
  <c r="G38" i="13"/>
  <c r="I38" i="13" s="1"/>
  <c r="J38" i="13" s="1"/>
  <c r="B32" i="11"/>
  <c r="B107" i="11"/>
  <c r="G112" i="13"/>
  <c r="I112" i="13" s="1"/>
  <c r="J112" i="13" s="1"/>
  <c r="G71" i="13"/>
  <c r="I71" i="13" s="1"/>
  <c r="J71" i="13" s="1"/>
  <c r="B66" i="11"/>
  <c r="B64" i="11"/>
  <c r="B48" i="11"/>
  <c r="G53" i="13"/>
  <c r="I53" i="13" s="1"/>
  <c r="J53" i="13" s="1"/>
  <c r="G51" i="13"/>
  <c r="I51" i="13" s="1"/>
  <c r="J51" i="13" s="1"/>
  <c r="B42" i="11"/>
  <c r="G47" i="13"/>
  <c r="I47" i="13" s="1"/>
  <c r="J47" i="13" s="1"/>
  <c r="B40" i="11"/>
  <c r="G45" i="13"/>
  <c r="I45" i="13" s="1"/>
  <c r="J45" i="13" s="1"/>
  <c r="B8" i="11"/>
  <c r="B12" i="11"/>
  <c r="G17" i="13"/>
  <c r="I17" i="13" s="1"/>
  <c r="J17" i="13" s="1"/>
  <c r="G32" i="13"/>
  <c r="I32" i="13" s="1"/>
  <c r="J32" i="13" s="1"/>
  <c r="G29" i="13"/>
  <c r="I29" i="13" s="1"/>
  <c r="J29" i="13" s="1"/>
  <c r="B54" i="11"/>
  <c r="B27" i="11"/>
  <c r="B94" i="11"/>
  <c r="G23" i="13"/>
  <c r="I23" i="13" s="1"/>
  <c r="J23" i="13" s="1"/>
  <c r="B21" i="11"/>
  <c r="B23" i="11"/>
  <c r="G114" i="13"/>
  <c r="I114" i="13" s="1"/>
  <c r="J114" i="13" s="1"/>
  <c r="B83" i="11"/>
  <c r="B46" i="11"/>
  <c r="G50" i="13"/>
  <c r="I50" i="13" s="1"/>
  <c r="J50" i="13" s="1"/>
  <c r="G49" i="13"/>
  <c r="I49" i="13" s="1"/>
  <c r="J49" i="13" s="1"/>
  <c r="G44" i="13"/>
  <c r="I44" i="13" s="1"/>
  <c r="J44" i="13" s="1"/>
  <c r="G14" i="13"/>
  <c r="I14" i="13" s="1"/>
  <c r="J14" i="13" s="1"/>
  <c r="B69" i="11"/>
  <c r="G20" i="13"/>
  <c r="I20" i="13" s="1"/>
  <c r="J20" i="13" s="1"/>
  <c r="B15" i="11"/>
  <c r="B20" i="11"/>
  <c r="B9" i="11"/>
  <c r="B3" i="11"/>
  <c r="B22" i="11"/>
  <c r="G41" i="13"/>
  <c r="I41" i="13" s="1"/>
  <c r="J41" i="13" s="1"/>
  <c r="B95" i="11"/>
  <c r="G111" i="13"/>
  <c r="I111" i="13" s="1"/>
  <c r="J111" i="13" s="1"/>
  <c r="B106" i="11"/>
  <c r="B36" i="11"/>
  <c r="B77" i="11"/>
  <c r="G82" i="13"/>
  <c r="I82" i="13" s="1"/>
  <c r="J82" i="13" s="1"/>
  <c r="B74" i="11"/>
  <c r="B62" i="11"/>
  <c r="B38" i="11"/>
  <c r="B37" i="11"/>
  <c r="B35" i="11"/>
  <c r="B50" i="11"/>
  <c r="B49" i="11"/>
  <c r="B17" i="11"/>
  <c r="G75" i="13" l="1"/>
  <c r="I75" i="13" s="1"/>
  <c r="J75" i="13" s="1"/>
  <c r="I76" i="13"/>
  <c r="J76" i="13" s="1"/>
  <c r="G62" i="13"/>
  <c r="I62" i="13" s="1"/>
  <c r="J62" i="13" s="1"/>
  <c r="B65" i="11"/>
  <c r="G68" i="13"/>
  <c r="I68" i="13" s="1"/>
  <c r="J68" i="13" s="1"/>
  <c r="G59" i="13"/>
  <c r="I59" i="13" s="1"/>
  <c r="J59" i="13" s="1"/>
  <c r="B85" i="11"/>
  <c r="B11" i="11"/>
  <c r="G89" i="13"/>
  <c r="I89" i="13" s="1"/>
  <c r="J89" i="13" s="1"/>
  <c r="B104" i="11"/>
  <c r="B111" i="11" s="1"/>
  <c r="G28" i="13"/>
  <c r="I28" i="13" s="1"/>
  <c r="J28" i="13" s="1"/>
  <c r="B52" i="11"/>
  <c r="G95" i="13"/>
  <c r="I95" i="13" s="1"/>
  <c r="J95" i="13" s="1"/>
  <c r="B93" i="11"/>
  <c r="B99" i="11" s="1"/>
  <c r="G9" i="13"/>
  <c r="I9" i="13" s="1"/>
  <c r="J9" i="13" s="1"/>
  <c r="B31" i="11"/>
  <c r="B58" i="11"/>
  <c r="G88" i="13"/>
  <c r="I88" i="13" s="1"/>
  <c r="J88" i="13" s="1"/>
  <c r="B4" i="11"/>
  <c r="G54" i="13"/>
  <c r="I54" i="13" s="1"/>
  <c r="J54" i="13" s="1"/>
  <c r="G73" i="13"/>
  <c r="B34" i="11"/>
  <c r="G67" i="13"/>
  <c r="I67" i="13" s="1"/>
  <c r="J67" i="13" s="1"/>
  <c r="G8" i="13"/>
  <c r="I8" i="13" s="1"/>
  <c r="J8" i="13" s="1"/>
  <c r="B73" i="11"/>
  <c r="G109" i="13"/>
  <c r="I109" i="13" s="1"/>
  <c r="J109" i="13" s="1"/>
  <c r="G55" i="13"/>
  <c r="I55" i="13" s="1"/>
  <c r="J55" i="13" s="1"/>
  <c r="G43" i="13"/>
  <c r="I43" i="13" s="1"/>
  <c r="J43" i="13" s="1"/>
  <c r="G79" i="13"/>
  <c r="I79" i="13" s="1"/>
  <c r="J79" i="13" s="1"/>
  <c r="B19" i="11"/>
  <c r="G16" i="13"/>
  <c r="I16" i="13" s="1"/>
  <c r="J16" i="13" s="1"/>
  <c r="G22" i="13"/>
  <c r="I22" i="13" s="1"/>
  <c r="J22" i="13" s="1"/>
  <c r="G40" i="13"/>
  <c r="I40" i="13" s="1"/>
  <c r="J40" i="13" s="1"/>
  <c r="G70" i="13" l="1"/>
  <c r="I70" i="13" s="1"/>
  <c r="J70" i="13" s="1"/>
  <c r="I73" i="13"/>
  <c r="J73" i="13" s="1"/>
  <c r="G25" i="13"/>
  <c r="G90" i="13"/>
  <c r="I90" i="13" s="1"/>
  <c r="J90" i="13" s="1"/>
  <c r="B2" i="11"/>
  <c r="B28" i="11" s="1"/>
  <c r="G58" i="13"/>
  <c r="G37" i="13"/>
  <c r="G100" i="13"/>
  <c r="I100" i="13" s="1"/>
  <c r="J100" i="13" s="1"/>
  <c r="G103" i="13"/>
  <c r="G78" i="13"/>
  <c r="I78" i="13" s="1"/>
  <c r="J78" i="13" s="1"/>
  <c r="G42" i="13"/>
  <c r="G7" i="13"/>
  <c r="I7" i="13" s="1"/>
  <c r="J7" i="13" s="1"/>
  <c r="G116" i="13"/>
  <c r="I116" i="13" s="1"/>
  <c r="J116" i="13" s="1"/>
  <c r="G63" i="13"/>
  <c r="I63" i="13" s="1"/>
  <c r="J63" i="13" s="1"/>
  <c r="B78" i="11"/>
  <c r="G57" i="13" l="1"/>
  <c r="I57" i="13" s="1"/>
  <c r="J57" i="13" s="1"/>
  <c r="I58" i="13"/>
  <c r="J58" i="13" s="1"/>
  <c r="G36" i="13"/>
  <c r="I36" i="13" s="1"/>
  <c r="J36" i="13" s="1"/>
  <c r="I37" i="13"/>
  <c r="J37" i="13" s="1"/>
  <c r="G24" i="13"/>
  <c r="I24" i="13" s="1"/>
  <c r="J24" i="13" s="1"/>
  <c r="I25" i="13"/>
  <c r="J25" i="13" s="1"/>
  <c r="G39" i="13"/>
  <c r="I39" i="13" s="1"/>
  <c r="J39" i="13" s="1"/>
  <c r="I42" i="13"/>
  <c r="J42" i="13" s="1"/>
  <c r="G101" i="13"/>
  <c r="I101" i="13" s="1"/>
  <c r="J101" i="13" s="1"/>
  <c r="I103" i="13"/>
  <c r="J103" i="13" s="1"/>
  <c r="B80" i="11"/>
  <c r="B101" i="11" s="1"/>
  <c r="B112" i="11" s="1"/>
  <c r="G98" i="13"/>
  <c r="I98" i="13" s="1"/>
  <c r="J98" i="13" s="1"/>
  <c r="G33" i="13"/>
  <c r="I33" i="13" s="1"/>
  <c r="J33" i="13" s="1"/>
  <c r="G83" i="13" l="1"/>
  <c r="I83" i="13" s="1"/>
  <c r="J83" i="13" s="1"/>
  <c r="G104" i="13"/>
  <c r="I104" i="13" s="1"/>
  <c r="J104" i="13" s="1"/>
  <c r="G85" i="13" l="1"/>
  <c r="I85" i="13" s="1"/>
  <c r="J85" i="13" s="1"/>
  <c r="G106" i="13"/>
  <c r="I106" i="13" s="1"/>
  <c r="J106" i="13" s="1"/>
  <c r="G118" i="13" l="1"/>
  <c r="I118" i="13" s="1"/>
  <c r="J118" i="13" s="1"/>
</calcChain>
</file>

<file path=xl/connections.xml><?xml version="1.0" encoding="utf-8"?>
<connections xmlns="http://schemas.openxmlformats.org/spreadsheetml/2006/main">
  <connection id="1" keepAlive="1" name="Query - Qry30" type="5" refreshedVersion="6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<sst xmlns="http://schemas.openxmlformats.org/spreadsheetml/2006/main" count="2574" uniqueCount="1391">
  <si>
    <t>E.1.B.3.1) Insussistenze attive v/Aziende sanitarie pubbliche della Regione</t>
  </si>
  <si>
    <t>EA0170</t>
  </si>
  <si>
    <t>E.1.B.3.2) Insussistenze attive v/terzi</t>
  </si>
  <si>
    <t>EA0180</t>
  </si>
  <si>
    <t>EA0190</t>
  </si>
  <si>
    <t>EA0200</t>
  </si>
  <si>
    <t>EA0210</t>
  </si>
  <si>
    <t>EA0220</t>
  </si>
  <si>
    <t>E.1.B.3.2.E) Insussistenze attive v/terzi relative all'acquisto prestaz. sanitarie da operatori accreditati</t>
  </si>
  <si>
    <t>EA0230</t>
  </si>
  <si>
    <t>EA0240</t>
  </si>
  <si>
    <t>E.1.B.3.2.G) Altre insussistenze attive v/terzi</t>
  </si>
  <si>
    <t>EA0250</t>
  </si>
  <si>
    <t>EA0260</t>
  </si>
  <si>
    <t>EA0270</t>
  </si>
  <si>
    <t>EA0280</t>
  </si>
  <si>
    <t>EA0290</t>
  </si>
  <si>
    <t>EA0300</t>
  </si>
  <si>
    <t>E.2.B.2) Oneri da cause civili ed oneri processuali</t>
  </si>
  <si>
    <t>EA0310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</si>
  <si>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</si>
  <si>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</si>
  <si>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</si>
  <si>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</si>
  <si>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</si>
  <si>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</si>
  <si>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</si>
  <si>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EA0360</t>
  </si>
  <si>
    <t>EA0370</t>
  </si>
  <si>
    <t>EA0380</t>
  </si>
  <si>
    <t>EA0390</t>
  </si>
  <si>
    <t>EA0400</t>
  </si>
  <si>
    <t>EA0410</t>
  </si>
  <si>
    <t>EA0420</t>
  </si>
  <si>
    <t>EA0430</t>
  </si>
  <si>
    <t>EA0440</t>
  </si>
  <si>
    <t>EA0450</t>
  </si>
  <si>
    <t>EA0460</t>
  </si>
  <si>
    <t>EA0470</t>
  </si>
  <si>
    <t>EA0480</t>
  </si>
  <si>
    <t>EA0490</t>
  </si>
  <si>
    <t>EA0500</t>
  </si>
  <si>
    <t>EA0510</t>
  </si>
  <si>
    <t>EA0520</t>
  </si>
  <si>
    <t>EA0530</t>
  </si>
  <si>
    <t>EA0540</t>
  </si>
  <si>
    <t>EA0550</t>
  </si>
  <si>
    <t>EA0560</t>
  </si>
  <si>
    <t>EZ9999</t>
  </si>
  <si>
    <t>XA0000</t>
  </si>
  <si>
    <t>Risultato prima delle imposte (A - B +/- C +/- D +/- E)</t>
  </si>
  <si>
    <t>YA0010</t>
  </si>
  <si>
    <t>YA0020</t>
  </si>
  <si>
    <t>YA0030</t>
  </si>
  <si>
    <t>YA0040</t>
  </si>
  <si>
    <t>YA0050</t>
  </si>
  <si>
    <t>Y.1.D) IRAP relativa ad attività commerciale</t>
  </si>
  <si>
    <t>YA0060</t>
  </si>
  <si>
    <t>YA0070</t>
  </si>
  <si>
    <t>YA0080</t>
  </si>
  <si>
    <t>YA0090</t>
  </si>
  <si>
    <t>YZ9999</t>
  </si>
  <si>
    <t>ZZ9999</t>
  </si>
  <si>
    <t>B.2.A.10.2) - da pubblico (altri soggetti pubbl. della Regione)</t>
  </si>
  <si>
    <t>B.2.A.10.4) - da privato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</si>
  <si>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</si>
  <si>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</si>
  <si>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</si>
  <si>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</si>
  <si>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</si>
  <si>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B.2.B.1.4)   Riscaldamento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</si>
  <si>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</si>
  <si>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</si>
  <si>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</si>
  <si>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</si>
  <si>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</si>
  <si>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</si>
  <si>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</si>
  <si>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</si>
  <si>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</si>
  <si>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B.2.B.1.12.C) Altri servizi non sanitari da privato</t>
  </si>
  <si>
    <t>B.2.B.2.3.A) Consulenze non sanitarie da privato</t>
  </si>
  <si>
    <t>AA0010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</si>
  <si>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</si>
  <si>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</si>
  <si>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</si>
  <si>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</si>
  <si>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</si>
  <si>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</si>
  <si>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</si>
  <si>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</si>
  <si>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</si>
  <si>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</si>
  <si>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</si>
  <si>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</si>
  <si>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</si>
  <si>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AA0090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</si>
  <si>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</si>
  <si>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</si>
  <si>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</si>
  <si>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</si>
  <si>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</si>
  <si>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</si>
  <si>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</si>
  <si>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</si>
  <si>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</si>
  <si>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</si>
  <si>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AA0150</t>
  </si>
  <si>
    <t>AA0160</t>
  </si>
  <si>
    <t>AA0170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</si>
  <si>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</si>
  <si>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</si>
  <si>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</si>
  <si>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</si>
  <si>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</si>
  <si>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</si>
  <si>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</si>
  <si>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</si>
  <si>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</si>
  <si>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</si>
  <si>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</si>
  <si>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</si>
  <si>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</si>
  <si>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</si>
  <si>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</si>
  <si>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</si>
  <si>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</si>
  <si>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</si>
  <si>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</si>
  <si>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</si>
  <si>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AA0280</t>
  </si>
  <si>
    <t>AA0290</t>
  </si>
  <si>
    <t>CONTO  ECONOMICO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</si>
  <si>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</si>
  <si>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</si>
  <si>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</si>
  <si>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</si>
  <si>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</si>
  <si>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</si>
  <si>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</si>
  <si>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</si>
  <si>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</si>
  <si>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</si>
  <si>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</si>
  <si>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</si>
  <si>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</si>
  <si>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</si>
  <si>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</si>
  <si>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</si>
  <si>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</si>
  <si>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</si>
  <si>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</si>
  <si>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</si>
  <si>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</si>
  <si>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</si>
  <si>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</si>
  <si>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</si>
  <si>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</si>
  <si>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</si>
  <si>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</si>
  <si>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</si>
  <si>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</si>
  <si>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</si>
  <si>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</si>
  <si>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</si>
  <si>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</si>
  <si>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</si>
  <si>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</si>
  <si>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</si>
  <si>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</si>
  <si>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</si>
  <si>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</si>
  <si>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</si>
  <si>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</si>
  <si>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</si>
  <si>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</si>
  <si>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</si>
  <si>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</si>
  <si>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</si>
  <si>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</si>
  <si>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</si>
  <si>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</si>
  <si>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</si>
  <si>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</si>
  <si>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</si>
  <si>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</si>
  <si>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</si>
  <si>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</si>
  <si>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</si>
  <si>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</si>
  <si>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</si>
  <si>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</si>
  <si>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</si>
  <si>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</si>
  <si>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</si>
  <si>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</si>
  <si>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</si>
  <si>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</si>
  <si>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</si>
  <si>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</si>
  <si>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</si>
  <si>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</si>
  <si>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</si>
  <si>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</si>
  <si>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</si>
  <si>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</si>
  <si>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</si>
  <si>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</si>
  <si>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</si>
  <si>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</si>
  <si>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</si>
  <si>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</si>
  <si>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</si>
  <si>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</si>
  <si>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</si>
  <si>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</si>
  <si>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</si>
  <si>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</si>
  <si>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</si>
  <si>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</si>
  <si>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</si>
  <si>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</si>
  <si>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</si>
  <si>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</si>
  <si>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</si>
  <si>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</si>
  <si>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</si>
  <si>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</si>
  <si>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</si>
  <si>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</si>
  <si>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</si>
  <si>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</si>
  <si>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</si>
  <si>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</si>
  <si>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</si>
  <si>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</si>
  <si>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C)</t>
  </si>
  <si>
    <t>PROVENTI E ONERI FINANZIARI</t>
  </si>
  <si>
    <t>Interessi attivi ed altri proventi finanziari</t>
  </si>
  <si>
    <t>Interessi passivi ed altri oneri finanziari</t>
  </si>
  <si>
    <t>D)</t>
  </si>
  <si>
    <t>RETTIFICHE DI VALORE DI ATTIVITA' FINANZIARIE</t>
  </si>
  <si>
    <t>Rivalutazioni</t>
  </si>
  <si>
    <t>Svalutazioni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</si>
  <si>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</si>
  <si>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</si>
  <si>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</si>
  <si>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</si>
  <si>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</si>
  <si>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</si>
  <si>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</si>
  <si>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</si>
  <si>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</si>
  <si>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</si>
  <si>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</si>
  <si>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</si>
  <si>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</si>
  <si>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</si>
  <si>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</si>
  <si>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</si>
  <si>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</si>
  <si>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</si>
  <si>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</si>
  <si>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AA0300</t>
  </si>
  <si>
    <t>AA0310</t>
  </si>
  <si>
    <t>AA0320</t>
  </si>
  <si>
    <t>Totale B)</t>
  </si>
  <si>
    <t>Totale C)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</si>
  <si>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</si>
  <si>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</si>
  <si>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</si>
  <si>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</si>
  <si>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</si>
  <si>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</si>
  <si>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</si>
  <si>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</si>
  <si>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</si>
  <si>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</si>
  <si>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</si>
  <si>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</si>
  <si>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AA0400</t>
  </si>
  <si>
    <t>AA0410</t>
  </si>
  <si>
    <t>AA0420</t>
  </si>
  <si>
    <t>AA0430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</si>
  <si>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</si>
  <si>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</si>
  <si>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</si>
  <si>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</si>
  <si>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</si>
  <si>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</si>
  <si>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</si>
  <si>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</si>
  <si>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AA0480</t>
  </si>
  <si>
    <t>AA0490</t>
  </si>
  <si>
    <t>AA0500</t>
  </si>
  <si>
    <t>AA0510</t>
  </si>
  <si>
    <t>Conto Economico ex d.lgs. 118/2011</t>
  </si>
  <si>
    <t>AA0520</t>
  </si>
  <si>
    <t>AA0530</t>
  </si>
  <si>
    <t>AA0550</t>
  </si>
  <si>
    <t>AA0560</t>
  </si>
  <si>
    <t>AA0570</t>
  </si>
  <si>
    <t>AA0580</t>
  </si>
  <si>
    <t>AA0590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</si>
  <si>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</si>
  <si>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</si>
  <si>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</si>
  <si>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</si>
  <si>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</si>
  <si>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</si>
  <si>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</si>
  <si>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</si>
  <si>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</si>
  <si>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</si>
  <si>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</si>
  <si>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</si>
  <si>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</si>
  <si>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</si>
  <si>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</si>
  <si>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</si>
  <si>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</si>
  <si>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</si>
  <si>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</si>
  <si>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</si>
  <si>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</si>
  <si>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</si>
  <si>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</si>
  <si>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</si>
  <si>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</si>
  <si>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</si>
  <si>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</si>
  <si>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</si>
  <si>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</si>
  <si>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</si>
  <si>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</si>
  <si>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</si>
  <si>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</si>
  <si>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</si>
  <si>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</si>
  <si>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</si>
  <si>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</si>
  <si>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</si>
  <si>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</si>
  <si>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</si>
  <si>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</si>
  <si>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</si>
  <si>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</si>
  <si>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</si>
  <si>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</si>
  <si>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</si>
  <si>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</si>
  <si>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</si>
  <si>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</si>
  <si>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</si>
  <si>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</si>
  <si>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</si>
  <si>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</si>
  <si>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</si>
  <si>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</si>
  <si>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</si>
  <si>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</si>
  <si>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</si>
  <si>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</si>
  <si>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</si>
  <si>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</si>
  <si>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</si>
  <si>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</si>
  <si>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AA0930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</si>
  <si>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</si>
  <si>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</si>
  <si>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</si>
  <si>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</si>
  <si>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</si>
  <si>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</si>
  <si>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</si>
  <si>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</si>
  <si>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</si>
  <si>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</si>
  <si>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</si>
  <si>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</si>
  <si>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</si>
  <si>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</si>
  <si>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</si>
  <si>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</si>
  <si>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</si>
  <si>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</si>
  <si>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</si>
  <si>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</si>
  <si>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</si>
  <si>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</si>
  <si>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</si>
  <si>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</si>
  <si>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</si>
  <si>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</si>
  <si>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</si>
  <si>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</si>
  <si>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</si>
  <si>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</si>
  <si>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</si>
  <si>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</si>
  <si>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</si>
  <si>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BA0010</t>
  </si>
  <si>
    <t>BA0020</t>
  </si>
  <si>
    <t>BA0030</t>
  </si>
  <si>
    <t>BA0040</t>
  </si>
  <si>
    <t>B.1.A.1.1) Medicinali con AIC, ad eccezione di vaccini ed emoderivati di produzione regionale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</si>
  <si>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</si>
  <si>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</si>
  <si>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</si>
  <si>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</si>
  <si>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</si>
  <si>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</si>
  <si>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</si>
  <si>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</si>
  <si>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</si>
  <si>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</si>
  <si>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</si>
  <si>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</si>
  <si>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</si>
  <si>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</si>
  <si>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</si>
  <si>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</si>
  <si>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</si>
  <si>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</si>
  <si>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</si>
  <si>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</si>
  <si>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</si>
  <si>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</si>
  <si>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</si>
  <si>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</si>
  <si>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</si>
  <si>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</si>
  <si>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</si>
  <si>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</si>
  <si>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Altri beni e prodotti sanitari</t>
  </si>
  <si>
    <t>BA0300</t>
  </si>
  <si>
    <t>B.1.A.9)  Beni e prodotti sanitari da Aziende sanitarie pubbliche della Regione</t>
  </si>
  <si>
    <t>BA0310</t>
  </si>
  <si>
    <t>BA0320</t>
  </si>
  <si>
    <t>BA0330</t>
  </si>
  <si>
    <t>BA0340</t>
  </si>
  <si>
    <t>BA0350</t>
  </si>
  <si>
    <t>BA0360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</si>
  <si>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</si>
  <si>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</si>
  <si>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</si>
  <si>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</si>
  <si>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</si>
  <si>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BA0400</t>
  </si>
  <si>
    <t>BA0410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</si>
  <si>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</si>
  <si>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</si>
  <si>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</si>
  <si>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</si>
  <si>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</si>
  <si>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</si>
  <si>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</si>
  <si>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</si>
  <si>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</si>
  <si>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</si>
  <si>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</si>
  <si>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</si>
  <si>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</si>
  <si>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BA0500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</si>
  <si>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</si>
  <si>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</si>
  <si>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</si>
  <si>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</si>
  <si>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</si>
  <si>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</si>
  <si>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</si>
  <si>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</si>
  <si>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</si>
  <si>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</si>
  <si>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</si>
  <si>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</si>
  <si>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</si>
  <si>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</si>
  <si>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</si>
  <si>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</si>
  <si>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</si>
  <si>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</si>
  <si>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</si>
  <si>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</si>
  <si>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</si>
  <si>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</si>
  <si>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</si>
  <si>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</si>
  <si>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</si>
  <si>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</si>
  <si>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</si>
  <si>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</si>
  <si>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</si>
  <si>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</si>
  <si>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</si>
  <si>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</si>
  <si>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</si>
  <si>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</si>
  <si>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</si>
  <si>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</si>
  <si>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</si>
  <si>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</si>
  <si>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</si>
  <si>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</si>
  <si>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</si>
  <si>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</si>
  <si>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</si>
  <si>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</si>
  <si>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</si>
  <si>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</si>
  <si>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</si>
  <si>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</si>
  <si>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</si>
  <si>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</si>
  <si>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</si>
  <si>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</si>
  <si>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</si>
  <si>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</si>
  <si>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</si>
  <si>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</si>
  <si>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</si>
  <si>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</si>
  <si>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</si>
  <si>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</si>
  <si>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</si>
  <si>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</si>
  <si>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</si>
  <si>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</si>
  <si>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</si>
  <si>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</si>
  <si>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</si>
  <si>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</si>
  <si>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</si>
  <si>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</si>
  <si>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</si>
  <si>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</si>
  <si>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</si>
  <si>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</si>
  <si>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</si>
  <si>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</si>
  <si>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</si>
  <si>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</si>
  <si>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</si>
  <si>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</si>
  <si>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</si>
  <si>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</si>
  <si>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</si>
  <si>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</si>
  <si>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</si>
  <si>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</si>
  <si>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</si>
  <si>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</si>
  <si>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</si>
  <si>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</si>
  <si>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</si>
  <si>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</si>
  <si>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</si>
  <si>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</si>
  <si>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</si>
  <si>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</si>
  <si>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BA1060</t>
  </si>
  <si>
    <t>B.2.A.10.3) - da pubblico (Extraregione)</t>
  </si>
  <si>
    <t>BA1070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</si>
  <si>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</si>
  <si>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</si>
  <si>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</si>
  <si>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</si>
  <si>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</si>
  <si>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</si>
  <si>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</si>
  <si>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</si>
  <si>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</si>
  <si>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</si>
  <si>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</si>
  <si>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</si>
  <si>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</si>
  <si>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</si>
  <si>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</si>
  <si>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</si>
  <si>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</si>
  <si>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A.5.E.1.3) Ulteriore Pay-back</t>
  </si>
  <si>
    <t>B.2.A.12.2) - da pubblico (altri soggetti pubblici della Regione)</t>
  </si>
  <si>
    <t>BA1170</t>
  </si>
  <si>
    <t>A.1) Contributi in c/esercizio</t>
  </si>
  <si>
    <t>A.1.a) Contributi in c/esercizio - da Regione o Provincia Autonoma per quota F.S. regionale</t>
  </si>
  <si>
    <t>A.1.b) Contributi in c/esercizio - extra fondo</t>
  </si>
  <si>
    <t>A.1.b.1) Contributi da Regione o Prov. Aut. (extra fondo) - vincolati</t>
  </si>
  <si>
    <t>A.1.b.2) Contributi da Regione o Prov. Aut. (extra fondo) - Risorse aggiuntive da bilancio a titolo di copertura LEA</t>
  </si>
  <si>
    <t>A.1.b.3) Contributi da Regione o Prov. Aut. (extra fondo) - Risorse aggiuntive da bilancio a titolo di copertura extra LEA</t>
  </si>
  <si>
    <t>A.1.b.4) Contributi da Regione o Prov. Aut. (extra fondo) - altro</t>
  </si>
  <si>
    <t>A.1.b.5) Contributi da aziende sanitarie pubbliche (extra fondo)</t>
  </si>
  <si>
    <t>A.1.b.6) Contributi da altri soggetti pubblici</t>
  </si>
  <si>
    <t>A.1.c) Contributi in c/esercizio - per ricerca</t>
  </si>
  <si>
    <t>A.1.c.1) da Ministero della Salute per ricerca corrente</t>
  </si>
  <si>
    <t>A.1.c.2) da Ministero della Salute per ricerca finalizzata</t>
  </si>
  <si>
    <t>A.1.c.3) da Regione e altri soggetti pubblici</t>
  </si>
  <si>
    <t>A.1.c.4) da privati</t>
  </si>
  <si>
    <t>A.1.d) Contributi in c/esercizio - da privati</t>
  </si>
  <si>
    <t>A.2) Rettifica contributi c/esercizio per destinazione ad investimenti</t>
  </si>
  <si>
    <t>A.4) Ricavi per prestazioni sanitarie e sociosanitarie a rilevanza sanitaria</t>
  </si>
  <si>
    <t>A.4.a) Ricavi per prestazioni sanitarie e sociosanitarie - ad aziende sanitarie pubbliche</t>
  </si>
  <si>
    <t>A.4.b) Ricavi per prestazioni sanitarie e sociosanitarie - intramoenia</t>
  </si>
  <si>
    <t>A.4.c) Ricavi per prestazioni sanitarie e sociosanitarie - altro</t>
  </si>
  <si>
    <t>A.6) Compartecipazione alla spesa per prestazioni sanitarie (Ticket)</t>
  </si>
  <si>
    <t>A.7) Quota contributi in c/capitale imputata nell'esercizio</t>
  </si>
  <si>
    <t>A.8) Incrementi delle immobilizzazioni per lavori interni</t>
  </si>
  <si>
    <t>B) COSTI DELLA PRODUZIONE</t>
  </si>
  <si>
    <t>B.1) Acquisti di beni</t>
  </si>
  <si>
    <t>B.1.a) Acquisti di beni sanitari</t>
  </si>
  <si>
    <t>B.1.b) Acquisti di beni non sanitari</t>
  </si>
  <si>
    <t>B.2) Acquisti di servizi sanitari</t>
  </si>
  <si>
    <t>B.2.a) Acquisti di servizi sanitari - Medicina di base</t>
  </si>
  <si>
    <t>B.2.b) Acquisti di servizi sanitari - Farmaceutica</t>
  </si>
  <si>
    <t>B.2.c) Acquisti di servizi sanitari per assitenza specialistica ambulatoriale</t>
  </si>
  <si>
    <t>B.2.d) Acquisti di servizi sanitari per assistenza riabilitativa</t>
  </si>
  <si>
    <t>B.2.e) Acquisti di servizi sanitari per assistenza integrativa</t>
  </si>
  <si>
    <t>B.2.f) Acquisti di servizi sanitari per assistenza protesica</t>
  </si>
  <si>
    <t>B.2.g) Acquisti di servizi sanitari per assistenza ospedaliera</t>
  </si>
  <si>
    <t>B.2.h) Acquisti prestazioni di psichiatrica residenziale e semiresidenziale</t>
  </si>
  <si>
    <t>B.2.i) Acquisti prestazioni di distribuzione farmaci File F</t>
  </si>
  <si>
    <t>B.2.j) Acquisti prestazioni termali in convenzione</t>
  </si>
  <si>
    <t>B.2.k) Acquisti prestazioni di trasporto sanitario</t>
  </si>
  <si>
    <t>B.2.l) Acquisti prestazioni  socio-sanitarie a rilevanza sanitaria</t>
  </si>
  <si>
    <t>B.2.m) Compartecipazione al personale per att. Libero-prof. (intramoenia)</t>
  </si>
  <si>
    <t>B.2.n) Rimborsi Assegni e contributi sanitari</t>
  </si>
  <si>
    <t>B.2.o) Consulenze, collaborazioni, interinale, altre prestazioni di lavoro sanitarie e sociosanitarie</t>
  </si>
  <si>
    <t>B.2.p) Altri servizi sanitari e sociosanitari a rilevanza sanitaria</t>
  </si>
  <si>
    <t>B.2.q) Costi per differenziale Tariffe TUC</t>
  </si>
  <si>
    <t>B.3) Acquisti di servizi non sanitari</t>
  </si>
  <si>
    <t>B.3.a) Servizi non sanitari</t>
  </si>
  <si>
    <t>B.3.c) Formazione</t>
  </si>
  <si>
    <t>B.4) Manutenzione e riparazione</t>
  </si>
  <si>
    <t>B.5) Godimento di beni di terzi</t>
  </si>
  <si>
    <t>B.6) Costi del personale</t>
  </si>
  <si>
    <t>B.6.a) Personale dirigente medico</t>
  </si>
  <si>
    <t>B.6.b) Personale dirigente ruolo sanitario non medico</t>
  </si>
  <si>
    <t>B.6.c) Personale comparto ruolo sanitario</t>
  </si>
  <si>
    <t>B.6.d) Personale dirigente altri ruoli</t>
  </si>
  <si>
    <t>B.6.e) Personale comparto altri ruoli</t>
  </si>
  <si>
    <t>B.7) Oneri diversi di gestione</t>
  </si>
  <si>
    <t>B.8) Ammortamenti</t>
  </si>
  <si>
    <t>B.8.a) Ammortamenti immobilizzazioni immateriali</t>
  </si>
  <si>
    <t>B.8.b) Ammortamenti dei Fabbricati</t>
  </si>
  <si>
    <t>B.8.c) Ammortamenti delle altre immobilizzazioni materiali</t>
  </si>
  <si>
    <t>B.9) Svalutazione delle immobilizzazioni e dei crediti</t>
  </si>
  <si>
    <t>B.10) Variazione delle rimanenze</t>
  </si>
  <si>
    <t>B.10.a) Variazione delle rimanenze sanitarie</t>
  </si>
  <si>
    <t>B.10.b) Variazione delle rimanenze non sanitarie</t>
  </si>
  <si>
    <t>B.11) Accantonamenti</t>
  </si>
  <si>
    <t>B.11.a) Accantonamenti per rischi</t>
  </si>
  <si>
    <t xml:space="preserve">B.11.b) Accantonamenti per premio operosità </t>
  </si>
  <si>
    <t>B.11.c) Accantonamenti per quote inutilizzate di contributi vincolati</t>
  </si>
  <si>
    <t>B.11.d) Altri accantonamenti</t>
  </si>
  <si>
    <t>DIFF. TRA VALORE E COSTI DELLA PRODUZIONE (A-B)</t>
  </si>
  <si>
    <t>C) PROVENTI E ONERI FINANZIARI</t>
  </si>
  <si>
    <t>C.1) Interessi attivi ed altri proventi finanziari</t>
  </si>
  <si>
    <t>C.2) Interessi passivi ed altri oneri finanziari</t>
  </si>
  <si>
    <t>D) RETTIFICHE DI VALORE DI ATTIVITA' FINANZIARIE</t>
  </si>
  <si>
    <t>D.1) Rivalutazioni</t>
  </si>
  <si>
    <t>D.2) Svalutazioni</t>
  </si>
  <si>
    <t>E) PROVENTI E ONERI STRAORDINARI</t>
  </si>
  <si>
    <t>E.1.a) Plusvalenze</t>
  </si>
  <si>
    <t>E.1.b) Altri proventi straordinari</t>
  </si>
  <si>
    <t>E.2.a) Minusvalenze</t>
  </si>
  <si>
    <t>E.2.b) Altri oneri straordinari</t>
  </si>
  <si>
    <t>RISULTATO PRIMA DELLE IMPOSTE (A-B+C+D+E)</t>
  </si>
  <si>
    <t>Y) IMPOSTE SUL REDDITO DELL'ESERCIZIO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</si>
  <si>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</si>
  <si>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</si>
  <si>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</si>
  <si>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commerciali</t>
  </si>
  <si>
    <t>Y.3) Accantonamento a fondo imposte (accertamenti, condoni, ecc.)</t>
  </si>
  <si>
    <t>UTILE (PERDITA) DELL'ESERCIZIO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</si>
  <si>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</si>
  <si>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</si>
  <si>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</si>
  <si>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</si>
  <si>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</si>
  <si>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</si>
  <si>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</si>
  <si>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</si>
  <si>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</si>
  <si>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</si>
  <si>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</si>
  <si>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</si>
  <si>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</si>
  <si>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</si>
  <si>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</si>
  <si>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</si>
  <si>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</si>
  <si>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</si>
  <si>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</si>
  <si>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</si>
  <si>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</si>
  <si>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</si>
  <si>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</si>
  <si>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</si>
  <si>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</si>
  <si>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</si>
  <si>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</si>
  <si>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</si>
  <si>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</si>
  <si>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</si>
  <si>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</si>
  <si>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</si>
  <si>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</si>
  <si>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</si>
  <si>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</si>
  <si>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</si>
  <si>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</si>
  <si>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</si>
  <si>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</si>
  <si>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</si>
  <si>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</si>
  <si>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</si>
  <si>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</si>
  <si>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</si>
  <si>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</si>
  <si>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</si>
  <si>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</si>
  <si>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</si>
  <si>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</si>
  <si>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</si>
  <si>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</si>
  <si>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</si>
  <si>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</si>
  <si>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</si>
  <si>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</si>
  <si>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</si>
  <si>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</si>
  <si>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</si>
  <si>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</si>
  <si>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B.2.A.4)   Acquisti servizi sanitari per assistenza riabilitativa</t>
  </si>
  <si>
    <t>B.2.A.8.2) - da pubblico (altri soggetti pubbl. della Regione)</t>
  </si>
  <si>
    <t>B.2.A.9.2) - da pubblico (altri soggetti pubbl. della Regione)</t>
  </si>
  <si>
    <t>B.5.A.2.2) Costo del personale dirigente non medico - tempo determinato</t>
  </si>
  <si>
    <t>BA2180</t>
  </si>
  <si>
    <t>B.5.A.2.3) Costo del personale dirigente non medico - altro</t>
  </si>
  <si>
    <t>BA2190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</si>
  <si>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</si>
  <si>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</si>
  <si>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</si>
  <si>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</si>
  <si>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</si>
  <si>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</si>
  <si>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</si>
  <si>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</si>
  <si>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</si>
  <si>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</si>
  <si>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</si>
  <si>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</si>
  <si>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</si>
  <si>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</si>
  <si>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</si>
  <si>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</si>
  <si>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</si>
  <si>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</si>
  <si>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</si>
  <si>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</si>
  <si>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</si>
  <si>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</si>
  <si>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BA2330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</si>
  <si>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</si>
  <si>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</si>
  <si>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</si>
  <si>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</si>
  <si>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</si>
  <si>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</si>
  <si>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</si>
  <si>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</si>
  <si>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</si>
  <si>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</si>
  <si>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</si>
  <si>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</si>
  <si>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Codice CE</t>
  </si>
  <si>
    <t>Descrizione CE</t>
  </si>
  <si>
    <t>B.7.B.3) Costo del personale comparto ruolo tecnico - altro</t>
  </si>
  <si>
    <t>BA2410</t>
  </si>
  <si>
    <t>BA2420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</si>
  <si>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</si>
  <si>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</si>
  <si>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</si>
  <si>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</si>
  <si>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</si>
  <si>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</si>
  <si>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</si>
  <si>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</si>
  <si>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</si>
  <si>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</si>
  <si>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</si>
  <si>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</si>
  <si>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</si>
  <si>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</si>
  <si>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BA2510</t>
  </si>
  <si>
    <t>B.9.A)  Imposte e tasse (escluso IRAP e IRES)</t>
  </si>
  <si>
    <t>BA2520</t>
  </si>
  <si>
    <t>BA2530</t>
  </si>
  <si>
    <t>BA2540</t>
  </si>
  <si>
    <t>BA2550</t>
  </si>
  <si>
    <t>BA2560</t>
  </si>
  <si>
    <t>Totale Ammortamenti</t>
  </si>
  <si>
    <t>BA2570</t>
  </si>
  <si>
    <t>BA2580</t>
  </si>
  <si>
    <t>B.11) Ammortamenti delle immobilizzazioni materiali</t>
  </si>
  <si>
    <t>BA2590</t>
  </si>
  <si>
    <t>B.12) Ammortamento dei fabbricati</t>
  </si>
  <si>
    <t>BA2600</t>
  </si>
  <si>
    <t>B.12.A) Ammortamenti fabbricati non strumentali (disponibili)</t>
  </si>
  <si>
    <t>BA2610</t>
  </si>
  <si>
    <t>B.12.B) Ammortamenti fabbricati strumentali (indisponibili)</t>
  </si>
  <si>
    <t>BA2620</t>
  </si>
  <si>
    <t>B.13) Ammortamenti delle altre immobilizzazioni materiali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</si>
  <si>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</si>
  <si>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</si>
  <si>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</si>
  <si>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</si>
  <si>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</si>
  <si>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</si>
  <si>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BA2660</t>
  </si>
  <si>
    <t>B.15) Variazione delle rimanenze</t>
  </si>
  <si>
    <t>BA2670</t>
  </si>
  <si>
    <t>BA2680</t>
  </si>
  <si>
    <r>
      <t xml:space="preserve">A.1.B.1.2)  Contributi da Regione o Prov. Aut. (extra fondo) - Risorse aggiuntive da bilancio regionale a titolo di copertura </t>
    </r>
    <r>
      <rPr>
        <u/>
        <sz val="10"/>
        <rFont val="Arial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</si>
  <si>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Arial"/>
        <family val="2"/>
      </rPr>
      <t>extra LEA</t>
    </r>
  </si>
  <si>
    <t>AA0000</t>
  </si>
  <si>
    <t>CA0000</t>
  </si>
  <si>
    <t>DA0000</t>
  </si>
  <si>
    <t>EA0000</t>
  </si>
  <si>
    <t>YA0000</t>
  </si>
  <si>
    <t>BA2690</t>
  </si>
  <si>
    <t>B.16) Accantonamenti dell’esercizio</t>
  </si>
  <si>
    <t>BA2700</t>
  </si>
  <si>
    <t>B.16.A) Accantonamenti per rischi</t>
  </si>
  <si>
    <t>BA2710</t>
  </si>
  <si>
    <t>BA2720</t>
  </si>
  <si>
    <t>BA2730</t>
  </si>
  <si>
    <t>BA2740</t>
  </si>
  <si>
    <t>B.2.B.2.3.B) Collaborazioni coordinate e continuative non sanitarie da privato</t>
  </si>
  <si>
    <t>B.2.B.2.4) Rimborso oneri stipendiali del personale non sanitario in comando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</si>
  <si>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</si>
  <si>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</si>
  <si>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</si>
  <si>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</si>
  <si>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B.3)  Manutenzione e riparazione (ordinaria esternalizzata)</t>
  </si>
  <si>
    <t>B.4)   Godimento di beni di terzi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</si>
  <si>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</si>
  <si>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</si>
  <si>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</si>
  <si>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</si>
  <si>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</si>
  <si>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</si>
  <si>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</si>
  <si>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</si>
  <si>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</si>
  <si>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</si>
  <si>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B.5.A.2) Costo del personale dirigente non medico</t>
  </si>
  <si>
    <t>C118</t>
  </si>
  <si>
    <t>D118</t>
  </si>
  <si>
    <t>Importo</t>
  </si>
  <si>
    <t>B.5.B) Costo del personale comparto ruolo sanitario</t>
  </si>
  <si>
    <t>B.6)   Personale del ruolo professionale</t>
  </si>
  <si>
    <t>B.6.A) Costo del personale dirigente ruolo professionale</t>
  </si>
  <si>
    <t>B.6.B) Costo del personale comparto ruolo professionale</t>
  </si>
  <si>
    <t>B.7)   Personale del ruolo tecnico</t>
  </si>
  <si>
    <t>B.7.A) Costo del personale dirigente ruolo tecnico</t>
  </si>
  <si>
    <t>B.7.B) Costo del personale comparto ruolo tecnico</t>
  </si>
  <si>
    <t>B.8)   Personale del ruolo amministrativo</t>
  </si>
  <si>
    <t>B.8.A) Costo del personale dirigente ruolo amministrativo</t>
  </si>
  <si>
    <t>B.8.B) Costo del personale comparto ruolo amministrativo</t>
  </si>
  <si>
    <t>B.9)   Oneri diversi di gestione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</si>
  <si>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</si>
  <si>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</si>
  <si>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</si>
  <si>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</si>
  <si>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B.10) Ammortamenti delle immobilizzazioni immateriali</t>
  </si>
  <si>
    <t>Totale costi della produzione (B)</t>
  </si>
  <si>
    <t>C)  Proventi e oneri finanziari</t>
  </si>
  <si>
    <t>C.1) Interessi attivi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</si>
  <si>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</si>
  <si>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</si>
  <si>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</si>
  <si>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</si>
  <si>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</si>
  <si>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</si>
  <si>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</si>
  <si>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</si>
  <si>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</si>
  <si>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C.3.B) Interessi passivi su mutui</t>
  </si>
  <si>
    <t>C.3.C) Altri interessi passivi</t>
  </si>
  <si>
    <t>C.4.A) Altri oneri finanziari</t>
  </si>
  <si>
    <t>C.4.B) Perdite su cambi</t>
  </si>
  <si>
    <t>Totale proventi e oneri finanziari (C)</t>
  </si>
  <si>
    <t>D)  Rettifiche di valore di attività finanziarie</t>
  </si>
  <si>
    <t>D.1)  Rivalutazioni</t>
  </si>
  <si>
    <t>D.2)  Svalutazioni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</si>
  <si>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</si>
  <si>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</si>
  <si>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</si>
  <si>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</si>
  <si>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</si>
  <si>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</si>
  <si>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</si>
  <si>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E.1.B.2.2.A) Sopravvenienze attive v/terzi relative alla mobilità extraregionale</t>
  </si>
  <si>
    <t>E.1.B.2.2.B) Sopravvenienze attive v/terzi relative al personale</t>
  </si>
  <si>
    <t>E.1.B.2.2.C) Sopravvenienze attive v/terzi relative alle convenzioni con medici di base</t>
  </si>
  <si>
    <t>E.1.B.2.2.D) Sopravvenienze attive v/terzi relative alle convenzioni per la specialistica</t>
  </si>
  <si>
    <t>E.1.B.2.2.F) Sopravvenienze attive v/terzi relative all'acquisto di beni e servizi</t>
  </si>
  <si>
    <t>E.1.B.2.2.G) Altre sopravvenienze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</si>
  <si>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</si>
  <si>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</si>
  <si>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</si>
  <si>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</si>
  <si>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Totale A)</t>
  </si>
  <si>
    <t>Totale D)</t>
  </si>
  <si>
    <t>Totale E)</t>
  </si>
  <si>
    <t>Totale Y)</t>
  </si>
  <si>
    <t>E.1.B.3.2.F) Insussistenze attive v/terzi relative all'acquisto di beni e servizi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</si>
  <si>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</si>
  <si>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</si>
  <si>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</si>
  <si>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</si>
  <si>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</si>
  <si>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E.2.B.3) Sopravvenienze passive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</si>
  <si>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</si>
  <si>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</si>
  <si>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</si>
  <si>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</si>
  <si>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</si>
  <si>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</si>
  <si>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</si>
  <si>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</si>
  <si>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</si>
  <si>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</si>
  <si>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</si>
  <si>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</si>
  <si>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E.2.B.5) Altri oneri straordinari</t>
  </si>
  <si>
    <t>Totale proventi e oneri straordinari (E)</t>
  </si>
  <si>
    <t xml:space="preserve">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</si>
  <si>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</si>
  <si>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</si>
  <si>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</si>
  <si>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</si>
  <si>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</si>
  <si>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</si>
  <si>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</si>
  <si>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</si>
  <si>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Totale imposte e tasse</t>
  </si>
  <si>
    <t>RISULTATO DI ESERCIZIO</t>
  </si>
  <si>
    <t>A)  Valore della produzione</t>
  </si>
  <si>
    <t>A.1)  Contributi in c/esercizio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</si>
  <si>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</si>
  <si>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</si>
  <si>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</si>
  <si>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</si>
  <si>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</si>
  <si>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</si>
  <si>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</si>
  <si>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</si>
  <si>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</si>
  <si>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</si>
  <si>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</si>
  <si>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</si>
  <si>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</si>
  <si>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BA1550</t>
  </si>
  <si>
    <t>B.2.A.17) Costi per differenziale tariffe TUC</t>
  </si>
  <si>
    <t>BA1560</t>
  </si>
  <si>
    <t>BA1570</t>
  </si>
  <si>
    <t>BA1580</t>
  </si>
  <si>
    <t>BA1590</t>
  </si>
  <si>
    <t>BA1600</t>
  </si>
  <si>
    <t>BA1610</t>
  </si>
  <si>
    <t>BA1620</t>
  </si>
  <si>
    <t>B.2.B.1.5)   Servizi di assistenza informatica</t>
  </si>
  <si>
    <t>BA1630</t>
  </si>
  <si>
    <t>BA1640</t>
  </si>
  <si>
    <t>BA1650</t>
  </si>
  <si>
    <t>BA1660</t>
  </si>
  <si>
    <t>BA1670</t>
  </si>
  <si>
    <t>BA1680</t>
  </si>
  <si>
    <t>BA1690</t>
  </si>
  <si>
    <t>BA1700</t>
  </si>
  <si>
    <t>BA1710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</si>
  <si>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</si>
  <si>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</si>
  <si>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</si>
  <si>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</si>
  <si>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</si>
  <si>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</si>
  <si>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</si>
  <si>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</si>
  <si>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</si>
  <si>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</si>
  <si>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</si>
  <si>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</si>
  <si>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</si>
  <si>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</si>
  <si>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BA1800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</si>
  <si>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</si>
  <si>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</si>
  <si>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</si>
  <si>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</si>
  <si>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</si>
  <si>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</si>
  <si>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</si>
  <si>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</si>
  <si>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</si>
  <si>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</si>
  <si>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</si>
  <si>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</si>
  <si>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BA1880</t>
  </si>
  <si>
    <t>BA1890</t>
  </si>
  <si>
    <t>BA1900</t>
  </si>
  <si>
    <t>BA1910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</si>
  <si>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</si>
  <si>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</si>
  <si>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</si>
  <si>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</si>
  <si>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</si>
  <si>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</si>
  <si>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</si>
  <si>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</si>
  <si>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</si>
  <si>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</si>
  <si>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</si>
  <si>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</si>
  <si>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</si>
  <si>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</si>
  <si>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</si>
  <si>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BA2000</t>
  </si>
  <si>
    <t>B.4.A)  Fitti passivi</t>
  </si>
  <si>
    <t>BA2010</t>
  </si>
  <si>
    <t>BA2020</t>
  </si>
  <si>
    <t>BA2030</t>
  </si>
  <si>
    <t>BA2040</t>
  </si>
  <si>
    <t>BA2050</t>
  </si>
  <si>
    <t>BA2060</t>
  </si>
  <si>
    <t>BA2070</t>
  </si>
  <si>
    <t>BA2080</t>
  </si>
  <si>
    <t>BA2090</t>
  </si>
  <si>
    <t>BA2100</t>
  </si>
  <si>
    <t>BA2110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</si>
  <si>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</si>
  <si>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</si>
  <si>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</si>
  <si>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</si>
  <si>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</si>
  <si>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</si>
  <si>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</si>
  <si>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BA2160</t>
  </si>
  <si>
    <t>B.5.A.2.1) Costo del personale dirigente non medico - tempo indeterminato</t>
  </si>
  <si>
    <t>BA2170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</si>
  <si>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</si>
  <si>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</si>
  <si>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</si>
  <si>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</si>
  <si>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</si>
  <si>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</si>
  <si>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</si>
  <si>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</si>
  <si>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</si>
  <si>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</si>
  <si>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</si>
  <si>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</si>
  <si>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</si>
  <si>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</si>
  <si>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</si>
  <si>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B.2.A.1.1.D) Altro (medicina dei servizi, psicologi, medici 118, ecc)</t>
  </si>
  <si>
    <t>B.2.A.2)   Acquisti servizi sanitari per farmaceutica</t>
  </si>
  <si>
    <t>B.2.A.2.1) - da convenzione</t>
  </si>
  <si>
    <t>B.2.A.3)   Acquisti servizi sanitari per assistenza specialistica ambulatoriale</t>
  </si>
  <si>
    <t>BA2750</t>
  </si>
  <si>
    <t>BA2760</t>
  </si>
  <si>
    <t>B.16.B) Accantonamenti per premio di operosità (SUMAI)</t>
  </si>
  <si>
    <t>BA2770</t>
  </si>
  <si>
    <t>B.16.C) Accantonamenti per quote inutilizzate di contributi vincolati</t>
  </si>
  <si>
    <t>BA2780</t>
  </si>
  <si>
    <t>BA2790</t>
  </si>
  <si>
    <t>BA2800</t>
  </si>
  <si>
    <t>BA2810</t>
  </si>
  <si>
    <t>BA2820</t>
  </si>
  <si>
    <t>B.16.D) Altri accantonamenti</t>
  </si>
  <si>
    <t>BA2840</t>
  </si>
  <si>
    <t>BA2850</t>
  </si>
  <si>
    <t>BA2860</t>
  </si>
  <si>
    <t>BA2870</t>
  </si>
  <si>
    <t>BA2880</t>
  </si>
  <si>
    <t>BA2890</t>
  </si>
  <si>
    <t>BZ9999</t>
  </si>
  <si>
    <t>CA0010</t>
  </si>
  <si>
    <t>CA0020</t>
  </si>
  <si>
    <t>C.1.A) Interessi attivi su c/tesoreria unica</t>
  </si>
  <si>
    <t>CA0030</t>
  </si>
  <si>
    <t>CA0040</t>
  </si>
  <si>
    <t>CA0050</t>
  </si>
  <si>
    <t>CA0060</t>
  </si>
  <si>
    <t>CA0070</t>
  </si>
  <si>
    <t>CA0080</t>
  </si>
  <si>
    <t>CA0090</t>
  </si>
  <si>
    <t>CA0100</t>
  </si>
  <si>
    <t>CA0110</t>
  </si>
  <si>
    <t>CA0120</t>
  </si>
  <si>
    <t>C.3.A) Interessi passivi su anticipazioni di cassa</t>
  </si>
  <si>
    <t>CA0130</t>
  </si>
  <si>
    <t>CA0140</t>
  </si>
  <si>
    <t>CA0150</t>
  </si>
  <si>
    <t>C.4) Altri oneri</t>
  </si>
  <si>
    <t>CA0160</t>
  </si>
  <si>
    <t>CA0170</t>
  </si>
  <si>
    <t>CZ9999</t>
  </si>
  <si>
    <t>DA0010</t>
  </si>
  <si>
    <t>DA0020</t>
  </si>
  <si>
    <t>DZ9999</t>
  </si>
  <si>
    <t>EA0010</t>
  </si>
  <si>
    <t>EA0020</t>
  </si>
  <si>
    <t>EA0030</t>
  </si>
  <si>
    <t>EA0040</t>
  </si>
  <si>
    <t>EA0050</t>
  </si>
  <si>
    <t>EA0060</t>
  </si>
  <si>
    <t>EA0070</t>
  </si>
  <si>
    <t>EA0080</t>
  </si>
  <si>
    <t>EA0090</t>
  </si>
  <si>
    <t>EA0100</t>
  </si>
  <si>
    <t>EA0110</t>
  </si>
  <si>
    <t>EA0120</t>
  </si>
  <si>
    <t>E.1.B.2.2.E) Sopravvenienze attive v/terzi relative all'acquisto prestaz. sanitarie da operatori accreditati</t>
  </si>
  <si>
    <t>EA0130</t>
  </si>
  <si>
    <t>EA0140</t>
  </si>
  <si>
    <t>EA0150</t>
  </si>
  <si>
    <t xml:space="preserve">E.1.B.3) Insussistenze attive </t>
  </si>
  <si>
    <r>
      <t>B.3.b) Consulenze, collaborazioni, interinale, altre prestazioni di lavoro non sanitarie</t>
    </r>
    <r>
      <rPr>
        <sz val="8"/>
        <color indexed="10"/>
        <rFont val="Arial"/>
        <family val="2"/>
      </rPr>
      <t xml:space="preserve"> </t>
    </r>
  </si>
  <si>
    <t>EA0160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</si>
  <si>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</si>
  <si>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</si>
  <si>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</si>
  <si>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</si>
  <si>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</si>
  <si>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</si>
  <si>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</si>
  <si>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</si>
  <si>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</si>
  <si>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</si>
  <si>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</si>
  <si>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</si>
  <si>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</si>
  <si>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</si>
  <si>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</si>
  <si>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</si>
  <si>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</si>
  <si>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</si>
  <si>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 Contributi da altri soggetti pubblici (extra fondo) - in attuazione dell'art.79, comma 1 sexies lettera c), del D.L. 112/2008, convertito con legge 133/2008 e della legge 23 dicembre 2009, n. 191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</si>
  <si>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</si>
  <si>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</si>
  <si>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</si>
  <si>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</si>
  <si>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</si>
  <si>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</si>
  <si>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</si>
  <si>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</si>
  <si>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</si>
  <si>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</si>
  <si>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</si>
  <si>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</si>
  <si>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</si>
  <si>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</si>
  <si>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</si>
  <si>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</si>
  <si>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</si>
  <si>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</si>
  <si>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</si>
  <si>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</si>
  <si>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</si>
  <si>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</si>
  <si>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</si>
  <si>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</si>
  <si>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</si>
  <si>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</si>
  <si>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</si>
  <si>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</si>
  <si>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</si>
  <si>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</si>
  <si>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</si>
  <si>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</si>
  <si>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</si>
  <si>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</si>
  <si>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</si>
  <si>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</si>
  <si>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</si>
  <si>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</si>
  <si>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</si>
  <si>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</si>
  <si>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</si>
  <si>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</si>
  <si>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</si>
  <si>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</si>
  <si>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</si>
  <si>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</si>
  <si>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</si>
  <si>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</si>
  <si>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</si>
  <si>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</si>
  <si>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di pronto soccorso non seguite da ricovero da priv. Extraregione in compensazione  (mobilità attiva)</t>
  </si>
  <si>
    <t>A.4.B.4)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</si>
  <si>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</si>
  <si>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</si>
  <si>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</si>
  <si>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</si>
  <si>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</si>
  <si>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</si>
  <si>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</si>
  <si>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</si>
  <si>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</si>
  <si>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</si>
  <si>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</si>
  <si>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</si>
  <si>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extra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</si>
  <si>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</si>
  <si>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</si>
  <si>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</si>
  <si>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</si>
  <si>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</si>
  <si>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</si>
  <si>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</si>
  <si>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</si>
  <si>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</si>
  <si>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</si>
  <si>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</si>
  <si>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</si>
  <si>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</si>
  <si>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</si>
  <si>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</si>
  <si>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</si>
  <si>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</si>
  <si>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non seguite da ricovero - da pubblico (Aziende sanitarie pubbliche della Regione)</t>
  </si>
  <si>
    <t>B.2.A.3.3) - da pubblico (altri soggetti pubbl. della Regione), ad eccezione delle somministrazionidi farmaci e dispositivi ad alto costoin trattamento</t>
  </si>
  <si>
    <t>BA0551</t>
  </si>
  <si>
    <t>B.2.A.3.4) Prestazioni di pronto soccorso non seguite da ricovero - da pubblico (altri soggetti pubbl. della Regione)</t>
  </si>
  <si>
    <t>B.2.A.3.5) - da pubblico (Extraregione)</t>
  </si>
  <si>
    <t>BA0561</t>
  </si>
  <si>
    <t>B.2.A.3.6) - Prestazioni di pronto soccorso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</si>
  <si>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</si>
  <si>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</si>
  <si>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</si>
  <si>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</si>
  <si>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</si>
  <si>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</si>
  <si>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</si>
  <si>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</si>
  <si>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</si>
  <si>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</si>
  <si>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da Case di Cura private</t>
  </si>
  <si>
    <t>B.2.A.3.8.G) Servizi sanitari per assistenza specialistica da altri privati</t>
  </si>
  <si>
    <t>BA0621</t>
  </si>
  <si>
    <t>B.2.A.3.8.H) Servizi sanitari per prestazioni di pronto soccorso non seguite da ricovero da altri privati</t>
  </si>
  <si>
    <t>B.2.A.3.9) - da privato per cittadini non residenti - Extraregione (mobilità attiva in compensazione)</t>
  </si>
  <si>
    <t>BA0631</t>
  </si>
  <si>
    <t>B.2.A.3.10) - Servizi sanitari per prestazioni di pronto soccorso non seguite da ricovero - da privato per cittadini non residenti - Extraregione (mobilità attiva in compensazione)</t>
  </si>
  <si>
    <t>BA1151</t>
  </si>
  <si>
    <t>B.2.A.12.1.A) Assistenza domiciliare integrata</t>
  </si>
  <si>
    <t>BA1152</t>
  </si>
  <si>
    <t xml:space="preserve">B.2.A.12.1.B) Altre prestazioni socio-sanitarie a rilevanza sanitaria 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</si>
  <si>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</si>
  <si>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</si>
  <si>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</si>
  <si>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</si>
  <si>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</si>
  <si>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</si>
  <si>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</si>
  <si>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BA1541</t>
  </si>
  <si>
    <t>B.2.A.16.6)  Costi per servizi sanitari - Mobilità internazionale passiva rilevata dalle ASL</t>
  </si>
  <si>
    <t>BA1542</t>
  </si>
  <si>
    <t>B.2.A.16.7)   Costi per prestazioni sanitarie erogate da aziende sanitarie estere (fatturate direttamente)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</si>
  <si>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</si>
  <si>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</si>
  <si>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</si>
  <si>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</si>
  <si>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</si>
  <si>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in attuazione dell’art.79, comma 1 sexies lettera c), del D.L. 112/2008, convertito con legge 133/2008 e della legge 23 dicembre 2009 n. 191.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</si>
  <si>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</si>
  <si>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</si>
  <si>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</si>
  <si>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</si>
  <si>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</si>
  <si>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</si>
  <si>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</si>
  <si>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</si>
  <si>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</si>
  <si>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</si>
  <si>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</si>
  <si>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</si>
  <si>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</si>
  <si>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</si>
  <si>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</si>
  <si>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</si>
  <si>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</si>
  <si>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</si>
  <si>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</si>
  <si>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</si>
  <si>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</si>
  <si>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</si>
  <si>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</si>
  <si>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</si>
  <si>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</si>
  <si>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</si>
  <si>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</si>
  <si>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</si>
  <si>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</si>
  <si>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</si>
  <si>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</si>
  <si>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</si>
  <si>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</si>
  <si>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</si>
  <si>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</si>
  <si>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</si>
  <si>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</si>
  <si>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</si>
  <si>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</si>
  <si>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</si>
  <si>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</si>
  <si>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</si>
  <si>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</si>
  <si>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</si>
  <si>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</si>
  <si>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Altri accantonamenti per interessi di mora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</si>
  <si>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</si>
  <si>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</si>
  <si>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</si>
  <si>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</si>
  <si>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</si>
  <si>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</si>
  <si>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</si>
  <si>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</si>
  <si>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</si>
  <si>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</si>
  <si>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</si>
  <si>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</si>
  <si>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</si>
  <si>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</si>
  <si>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</si>
  <si>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</si>
  <si>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</si>
  <si>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</si>
  <si>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</si>
  <si>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</si>
  <si>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</si>
  <si>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</si>
  <si>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</si>
  <si>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</si>
  <si>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</si>
  <si>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</si>
  <si>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</si>
  <si>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</si>
  <si>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</si>
  <si>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</si>
  <si>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</si>
  <si>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</si>
  <si>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</si>
  <si>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</si>
  <si>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</si>
  <si>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</si>
  <si>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</si>
  <si>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BA0000</t>
  </si>
  <si>
    <t>B.2.A.17) Costi GSA per differenziale saldo mobilità interregionale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</si>
  <si>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</si>
  <si>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</si>
  <si>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</si>
  <si>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</si>
  <si>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</si>
  <si>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</si>
  <si>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</si>
  <si>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</si>
  <si>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B.14) Accantonamenti dell’esercizio</t>
  </si>
  <si>
    <t>B.14.A) Accantonamenti per rischi</t>
  </si>
  <si>
    <t>B.14.B) Accantonamenti per premio di operosità (SUMAI)</t>
  </si>
  <si>
    <t>B.14.C) Accantonamenti per quote inutilizzate di contributi vincolati</t>
  </si>
  <si>
    <t>B.14.D) Altri accantonamenti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</si>
  <si>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</si>
  <si>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</si>
  <si>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</si>
  <si>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</si>
  <si>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</si>
  <si>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</si>
  <si>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</si>
  <si>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A.1.B.1.2)  Contributi da Regione o Prov. Aut. (extra fondo) - Risorse aggiuntive da bilancio regionale a titolo di copertura LEA</t>
  </si>
  <si>
    <t>A.1.B.1.3)  Contributi da Regione o Prov. Aut. (extra fondo) - Risorse aggiuntive da bilancio regionale a titolo di copertura extra LEA</t>
  </si>
  <si>
    <t>Esercizio 2022</t>
  </si>
  <si>
    <t>Importi: Euro</t>
  </si>
  <si>
    <t>Consuntivo 2021</t>
  </si>
  <si>
    <t>Preventivo 2022</t>
  </si>
  <si>
    <t>VARIAZIONE 2022/2021</t>
  </si>
  <si>
    <t>%</t>
  </si>
  <si>
    <t>Differenza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</si>
</sst>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* #,##0_);_(* \(#,##0\);_(* &quot;-&quot;_);_(@_)"/>
    <numFmt numFmtId="165" formatCode="_ * #,##0_ ;_ * \-#,##0_ ;_ * &quot;-&quot;_ ;_ @_ "/>
    <numFmt numFmtId="166" formatCode="_ * #,##0.00_ ;_ * \-#,##0.00_ ;_ * &quot;-&quot;??_ ;_ @_ "/>
    <numFmt numFmtId="167" formatCode="#,##0.00_ ;[Red]\-#,##0.00\ "/>
    <numFmt numFmtId="168" formatCode="#,##0_ ;\-#,##0\ "/>
    <numFmt numFmtId="169" formatCode="#,##0_ ;[Red]\-#,##0\ "/>
  </numFmts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b/>
      <sz val="12"/>
      <name val="Garamond"/>
      <family val="1"/>
    </font>
    <font>
      <b/>
      <sz val="14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  <font>
      <b/>
      <sz val="22"/>
      <name val="Tahoma"/>
      <family val="2"/>
    </font>
    <font>
      <b/>
      <sz val="8"/>
      <name val="Calibri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21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9" fillId="7" borderId="1" applyNumberFormat="0" applyAlignment="0" applyProtection="0"/>
    <xf numFmtId="0" fontId="7" fillId="0" borderId="2" applyNumberFormat="0" applyFill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24" fillId="0" borderId="0"/>
    <xf numFmtId="0" fontId="11" fillId="0" borderId="0"/>
    <xf numFmtId="0" fontId="24" fillId="0" borderId="0"/>
    <xf numFmtId="0" fontId="23" fillId="0" borderId="0"/>
    <xf numFmtId="0" fontId="1" fillId="23" borderId="7" applyNumberFormat="0" applyFont="0" applyAlignment="0" applyProtection="0"/>
    <xf numFmtId="0" fontId="4" fillId="23" borderId="7" applyNumberFormat="0" applyFont="0" applyAlignment="0" applyProtection="0"/>
    <xf numFmtId="0" fontId="12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13" fillId="24" borderId="9">
      <alignment vertical="center"/>
    </xf>
    <xf numFmtId="49" fontId="1" fillId="25" borderId="9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42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46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76" applyFont="1" applyFill="1" applyBorder="1" applyAlignment="1">
      <alignment horizontal="center" vertical="center"/>
    </xf>
    <xf numFmtId="0" fontId="3" fillId="0" borderId="11" xfId="76" applyFont="1" applyFill="1" applyBorder="1" applyAlignment="1" applyProtection="1">
      <alignment horizontal="left" vertical="center" wrapText="1" indent="2"/>
    </xf>
    <xf numFmtId="0" fontId="28" fillId="0" borderId="0" xfId="80" applyFont="1" applyFill="1" applyAlignment="1">
      <alignment vertical="center"/>
    </xf>
    <xf numFmtId="0" fontId="29" fillId="0" borderId="0" xfId="80" applyFont="1" applyFill="1" applyAlignment="1">
      <alignment vertical="center"/>
    </xf>
    <xf numFmtId="49" fontId="30" fillId="0" borderId="13" xfId="56" applyNumberFormat="1" applyFont="1" applyFill="1" applyBorder="1" applyAlignment="1">
      <alignment horizontal="left" vertical="center" wrapText="1" indent="4"/>
    </xf>
    <xf numFmtId="0" fontId="28" fillId="0" borderId="0" xfId="80" applyFont="1" applyFill="1" applyBorder="1" applyAlignment="1">
      <alignment vertical="center"/>
    </xf>
    <xf numFmtId="0" fontId="29" fillId="0" borderId="0" xfId="80" applyFont="1" applyFill="1"/>
    <xf numFmtId="0" fontId="29" fillId="0" borderId="0" xfId="80" applyFont="1" applyFill="1" applyAlignment="1">
      <alignment horizontal="center" vertical="center"/>
    </xf>
    <xf numFmtId="49" fontId="29" fillId="0" borderId="13" xfId="56" applyNumberFormat="1" applyFont="1" applyFill="1" applyBorder="1" applyAlignment="1">
      <alignment horizontal="left" vertical="center" wrapText="1" indent="2"/>
    </xf>
    <xf numFmtId="49" fontId="29" fillId="0" borderId="13" xfId="80" applyNumberFormat="1" applyFont="1" applyFill="1" applyBorder="1" applyAlignment="1">
      <alignment horizontal="left" vertical="center" wrapText="1" indent="2"/>
    </xf>
    <xf numFmtId="0" fontId="25" fillId="27" borderId="0" xfId="0" applyFont="1" applyFill="1"/>
    <xf numFmtId="49" fontId="28" fillId="0" borderId="14" xfId="56" applyNumberFormat="1" applyFont="1" applyFill="1" applyBorder="1" applyAlignment="1">
      <alignment vertical="center" wrapText="1"/>
    </xf>
    <xf numFmtId="49" fontId="28" fillId="0" borderId="13" xfId="56" applyNumberFormat="1" applyFont="1" applyFill="1" applyBorder="1" applyAlignment="1">
      <alignment vertical="center" wrapText="1"/>
    </xf>
    <xf numFmtId="49" fontId="28" fillId="0" borderId="13" xfId="56" applyNumberFormat="1" applyFont="1" applyFill="1" applyBorder="1" applyAlignment="1">
      <alignment horizontal="left" vertical="center" wrapText="1"/>
    </xf>
    <xf numFmtId="49" fontId="29" fillId="0" borderId="13" xfId="56" applyNumberFormat="1" applyFont="1" applyFill="1" applyBorder="1" applyAlignment="1">
      <alignment vertical="center" wrapText="1"/>
    </xf>
    <xf numFmtId="49" fontId="28" fillId="0" borderId="13" xfId="80" applyNumberFormat="1" applyFont="1" applyFill="1" applyBorder="1" applyAlignment="1">
      <alignment vertical="center" wrapText="1"/>
    </xf>
    <xf numFmtId="49" fontId="28" fillId="0" borderId="13" xfId="80" applyNumberFormat="1" applyFont="1" applyFill="1" applyBorder="1" applyAlignment="1">
      <alignment horizontal="left" vertical="center" wrapText="1"/>
    </xf>
    <xf numFmtId="49" fontId="32" fillId="0" borderId="13" xfId="56" applyNumberFormat="1" applyFont="1" applyFill="1" applyBorder="1" applyAlignment="1">
      <alignment vertical="center" wrapText="1"/>
    </xf>
    <xf numFmtId="49" fontId="28" fillId="0" borderId="15" xfId="56" applyNumberFormat="1" applyFont="1" applyFill="1" applyBorder="1" applyAlignment="1">
      <alignment horizontal="left" vertical="center" wrapText="1"/>
    </xf>
    <xf numFmtId="0" fontId="28" fillId="0" borderId="11" xfId="80" applyFont="1" applyFill="1" applyBorder="1" applyAlignment="1">
      <alignment vertical="center" wrapText="1"/>
    </xf>
    <xf numFmtId="0" fontId="33" fillId="0" borderId="0" xfId="0" applyFont="1"/>
    <xf numFmtId="0" fontId="25" fillId="0" borderId="0" xfId="0" applyFont="1"/>
    <xf numFmtId="0" fontId="25" fillId="28" borderId="0" xfId="0" applyFont="1" applyFill="1"/>
    <xf numFmtId="0" fontId="2" fillId="0" borderId="0" xfId="0" applyFont="1"/>
    <xf numFmtId="0" fontId="2" fillId="0" borderId="0" xfId="0" applyFont="1" applyFill="1"/>
    <xf numFmtId="0" fontId="2" fillId="0" borderId="0" xfId="82" applyFont="1" applyFill="1" applyBorder="1" applyAlignment="1">
      <alignment vertical="center"/>
    </xf>
    <xf numFmtId="0" fontId="2" fillId="0" borderId="0" xfId="82" applyFont="1" applyFill="1" applyAlignment="1">
      <alignment vertical="center"/>
    </xf>
    <xf numFmtId="3" fontId="28" fillId="0" borderId="14" xfId="70" applyNumberFormat="1" applyFont="1" applyFill="1" applyBorder="1" applyAlignment="1">
      <alignment vertical="center"/>
    </xf>
    <xf numFmtId="3" fontId="29" fillId="0" borderId="13" xfId="70" applyNumberFormat="1" applyFont="1" applyFill="1" applyBorder="1" applyAlignment="1">
      <alignment vertical="center"/>
    </xf>
    <xf numFmtId="3" fontId="28" fillId="0" borderId="13" xfId="70" applyNumberFormat="1" applyFont="1" applyFill="1" applyBorder="1" applyAlignment="1">
      <alignment vertical="center"/>
    </xf>
    <xf numFmtId="3" fontId="28" fillId="0" borderId="15" xfId="70" applyNumberFormat="1" applyFont="1" applyFill="1" applyBorder="1" applyAlignment="1">
      <alignment vertical="center"/>
    </xf>
    <xf numFmtId="3" fontId="28" fillId="0" borderId="11" xfId="70" applyNumberFormat="1" applyFont="1" applyFill="1" applyBorder="1" applyAlignment="1">
      <alignment vertical="center"/>
    </xf>
    <xf numFmtId="3" fontId="29" fillId="0" borderId="0" xfId="70" applyNumberFormat="1" applyFont="1" applyFill="1" applyAlignment="1">
      <alignment vertical="center"/>
    </xf>
    <xf numFmtId="3" fontId="29" fillId="0" borderId="0" xfId="79" applyNumberFormat="1" applyFont="1" applyFill="1"/>
    <xf numFmtId="3" fontId="29" fillId="0" borderId="0" xfId="70" applyNumberFormat="1" applyFont="1" applyFill="1"/>
    <xf numFmtId="3" fontId="29" fillId="0" borderId="0" xfId="80" applyNumberFormat="1" applyFont="1" applyFill="1"/>
    <xf numFmtId="0" fontId="35" fillId="29" borderId="0" xfId="80" applyFont="1" applyFill="1" applyAlignment="1">
      <alignment vertical="center"/>
    </xf>
    <xf numFmtId="0" fontId="36" fillId="29" borderId="0" xfId="80" applyFont="1" applyFill="1" applyAlignment="1">
      <alignment horizontal="center" vertical="center"/>
    </xf>
    <xf numFmtId="0" fontId="35" fillId="29" borderId="0" xfId="80" applyFont="1" applyFill="1"/>
    <xf numFmtId="0" fontId="39" fillId="29" borderId="0" xfId="80" applyFont="1" applyFill="1"/>
    <xf numFmtId="164" fontId="37" fillId="29" borderId="16" xfId="56" applyFont="1" applyFill="1" applyBorder="1" applyAlignment="1">
      <alignment horizontal="left" vertical="center"/>
    </xf>
    <xf numFmtId="164" fontId="37" fillId="29" borderId="17" xfId="56" applyFont="1" applyFill="1" applyBorder="1" applyAlignment="1">
      <alignment horizontal="left" vertical="center"/>
    </xf>
    <xf numFmtId="164" fontId="37" fillId="29" borderId="18" xfId="56" applyFont="1" applyFill="1" applyBorder="1" applyAlignment="1">
      <alignment horizontal="left" vertical="center"/>
    </xf>
    <xf numFmtId="165" fontId="37" fillId="29" borderId="19" xfId="70" applyNumberFormat="1" applyFont="1" applyFill="1" applyBorder="1" applyAlignment="1">
      <alignment vertical="center"/>
    </xf>
    <xf numFmtId="0" fontId="37" fillId="29" borderId="0" xfId="80" applyFont="1" applyFill="1" applyAlignment="1">
      <alignment vertical="center"/>
    </xf>
    <xf numFmtId="49" fontId="37" fillId="29" borderId="20" xfId="56" applyNumberFormat="1" applyFont="1" applyFill="1" applyBorder="1" applyAlignment="1">
      <alignment horizontal="left" vertical="center"/>
    </xf>
    <xf numFmtId="49" fontId="37" fillId="29" borderId="0" xfId="56" applyNumberFormat="1" applyFont="1" applyFill="1" applyBorder="1" applyAlignment="1">
      <alignment horizontal="right" vertical="center"/>
    </xf>
    <xf numFmtId="49" fontId="37" fillId="29" borderId="0" xfId="56" applyNumberFormat="1" applyFont="1" applyFill="1" applyBorder="1" applyAlignment="1">
      <alignment horizontal="left" vertical="center"/>
    </xf>
    <xf numFmtId="49" fontId="37" fillId="29" borderId="21" xfId="56" applyNumberFormat="1" applyFont="1" applyFill="1" applyBorder="1" applyAlignment="1">
      <alignment horizontal="left" vertical="center"/>
    </xf>
    <xf numFmtId="49" fontId="39" fillId="29" borderId="20" xfId="56" applyNumberFormat="1" applyFont="1" applyFill="1" applyBorder="1" applyAlignment="1">
      <alignment horizontal="left" vertical="center"/>
    </xf>
    <xf numFmtId="49" fontId="39" fillId="29" borderId="0" xfId="56" applyNumberFormat="1" applyFont="1" applyFill="1" applyBorder="1" applyAlignment="1">
      <alignment horizontal="right" vertical="center"/>
    </xf>
    <xf numFmtId="49" fontId="39" fillId="29" borderId="0" xfId="56" applyNumberFormat="1" applyFont="1" applyFill="1" applyBorder="1" applyAlignment="1">
      <alignment horizontal="left" vertical="center"/>
    </xf>
    <xf numFmtId="49" fontId="39" fillId="29" borderId="21" xfId="56" applyNumberFormat="1" applyFont="1" applyFill="1" applyBorder="1" applyAlignment="1">
      <alignment horizontal="left" vertical="center"/>
    </xf>
    <xf numFmtId="0" fontId="39" fillId="29" borderId="0" xfId="80" applyFont="1" applyFill="1" applyAlignment="1">
      <alignment vertical="center"/>
    </xf>
    <xf numFmtId="49" fontId="39" fillId="0" borderId="20" xfId="56" applyNumberFormat="1" applyFont="1" applyFill="1" applyBorder="1" applyAlignment="1">
      <alignment horizontal="left" vertical="center"/>
    </xf>
    <xf numFmtId="49" fontId="39" fillId="0" borderId="0" xfId="56" applyNumberFormat="1" applyFont="1" applyFill="1" applyBorder="1" applyAlignment="1">
      <alignment horizontal="right" vertical="center"/>
    </xf>
    <xf numFmtId="49" fontId="39" fillId="0" borderId="0" xfId="56" applyNumberFormat="1" applyFont="1" applyFill="1" applyBorder="1" applyAlignment="1">
      <alignment horizontal="left" vertical="center"/>
    </xf>
    <xf numFmtId="49" fontId="40" fillId="0" borderId="0" xfId="56" applyNumberFormat="1" applyFont="1" applyFill="1" applyBorder="1" applyAlignment="1">
      <alignment horizontal="left" vertical="center"/>
    </xf>
    <xf numFmtId="49" fontId="40" fillId="0" borderId="21" xfId="56" applyNumberFormat="1" applyFont="1" applyFill="1" applyBorder="1" applyAlignment="1">
      <alignment horizontal="left" vertical="center"/>
    </xf>
    <xf numFmtId="0" fontId="39" fillId="0" borderId="0" xfId="80" applyFont="1" applyFill="1" applyAlignment="1">
      <alignment vertical="center"/>
    </xf>
    <xf numFmtId="49" fontId="39" fillId="29" borderId="21" xfId="80" applyNumberFormat="1" applyFont="1" applyFill="1" applyBorder="1" applyAlignment="1">
      <alignment horizontal="left" vertical="center"/>
    </xf>
    <xf numFmtId="49" fontId="40" fillId="29" borderId="0" xfId="56" applyNumberFormat="1" applyFont="1" applyFill="1" applyBorder="1" applyAlignment="1">
      <alignment horizontal="left" vertical="center"/>
    </xf>
    <xf numFmtId="49" fontId="40" fillId="29" borderId="21" xfId="56" applyNumberFormat="1" applyFont="1" applyFill="1" applyBorder="1" applyAlignment="1">
      <alignment horizontal="left" vertical="center"/>
    </xf>
    <xf numFmtId="49" fontId="37" fillId="29" borderId="20" xfId="80" applyNumberFormat="1" applyFont="1" applyFill="1" applyBorder="1" applyAlignment="1">
      <alignment horizontal="center" vertical="center"/>
    </xf>
    <xf numFmtId="49" fontId="37" fillId="29" borderId="0" xfId="56" applyNumberFormat="1" applyFont="1" applyFill="1" applyBorder="1" applyAlignment="1">
      <alignment vertical="center"/>
    </xf>
    <xf numFmtId="49" fontId="37" fillId="29" borderId="0" xfId="56" applyNumberFormat="1" applyFont="1" applyFill="1" applyBorder="1" applyAlignment="1">
      <alignment vertical="center" wrapText="1"/>
    </xf>
    <xf numFmtId="49" fontId="37" fillId="29" borderId="21" xfId="56" applyNumberFormat="1" applyFont="1" applyFill="1" applyBorder="1" applyAlignment="1">
      <alignment vertical="center" wrapText="1"/>
    </xf>
    <xf numFmtId="49" fontId="37" fillId="30" borderId="22" xfId="80" applyNumberFormat="1" applyFont="1" applyFill="1" applyBorder="1" applyAlignment="1">
      <alignment horizontal="center" vertical="center"/>
    </xf>
    <xf numFmtId="49" fontId="39" fillId="29" borderId="20" xfId="80" applyNumberFormat="1" applyFont="1" applyFill="1" applyBorder="1" applyAlignment="1">
      <alignment horizontal="center" vertical="center"/>
    </xf>
    <xf numFmtId="49" fontId="37" fillId="29" borderId="0" xfId="80" applyNumberFormat="1" applyFont="1" applyFill="1" applyBorder="1" applyAlignment="1">
      <alignment horizontal="left" vertical="center"/>
    </xf>
    <xf numFmtId="49" fontId="37" fillId="29" borderId="0" xfId="80" applyNumberFormat="1" applyFont="1" applyFill="1" applyBorder="1" applyAlignment="1">
      <alignment horizontal="center" vertical="center"/>
    </xf>
    <xf numFmtId="49" fontId="37" fillId="29" borderId="21" xfId="80" applyNumberFormat="1" applyFont="1" applyFill="1" applyBorder="1" applyAlignment="1">
      <alignment horizontal="center" vertical="center"/>
    </xf>
    <xf numFmtId="49" fontId="37" fillId="29" borderId="0" xfId="56" applyNumberFormat="1" applyFont="1" applyFill="1" applyBorder="1" applyAlignment="1">
      <alignment horizontal="center" vertical="center"/>
    </xf>
    <xf numFmtId="49" fontId="39" fillId="29" borderId="0" xfId="80" applyNumberFormat="1" applyFont="1" applyFill="1" applyBorder="1" applyAlignment="1">
      <alignment horizontal="center" vertical="center"/>
    </xf>
    <xf numFmtId="49" fontId="39" fillId="29" borderId="0" xfId="80" applyNumberFormat="1" applyFont="1" applyFill="1" applyBorder="1" applyAlignment="1">
      <alignment horizontal="right" vertical="center"/>
    </xf>
    <xf numFmtId="49" fontId="39" fillId="29" borderId="0" xfId="80" applyNumberFormat="1" applyFont="1" applyFill="1" applyBorder="1" applyAlignment="1">
      <alignment horizontal="left" vertical="center"/>
    </xf>
    <xf numFmtId="49" fontId="41" fillId="29" borderId="0" xfId="80" applyNumberFormat="1" applyFont="1" applyFill="1" applyBorder="1" applyAlignment="1">
      <alignment horizontal="center" vertical="center"/>
    </xf>
    <xf numFmtId="49" fontId="41" fillId="29" borderId="0" xfId="80" applyNumberFormat="1" applyFont="1" applyFill="1" applyBorder="1" applyAlignment="1">
      <alignment vertical="center"/>
    </xf>
    <xf numFmtId="49" fontId="41" fillId="29" borderId="21" xfId="80" applyNumberFormat="1" applyFont="1" applyFill="1" applyBorder="1" applyAlignment="1">
      <alignment vertical="center"/>
    </xf>
    <xf numFmtId="49" fontId="41" fillId="29" borderId="0" xfId="56" applyNumberFormat="1" applyFont="1" applyFill="1" applyBorder="1" applyAlignment="1">
      <alignment horizontal="right" vertical="center"/>
    </xf>
    <xf numFmtId="49" fontId="37" fillId="29" borderId="0" xfId="80" applyNumberFormat="1" applyFont="1" applyFill="1" applyBorder="1" applyAlignment="1">
      <alignment vertical="center"/>
    </xf>
    <xf numFmtId="49" fontId="39" fillId="29" borderId="0" xfId="80" applyNumberFormat="1" applyFont="1" applyFill="1" applyBorder="1" applyAlignment="1">
      <alignment vertical="center"/>
    </xf>
    <xf numFmtId="49" fontId="37" fillId="29" borderId="21" xfId="80" applyNumberFormat="1" applyFont="1" applyFill="1" applyBorder="1" applyAlignment="1">
      <alignment vertical="center"/>
    </xf>
    <xf numFmtId="49" fontId="39" fillId="29" borderId="21" xfId="80" applyNumberFormat="1" applyFont="1" applyFill="1" applyBorder="1" applyAlignment="1">
      <alignment vertical="center"/>
    </xf>
    <xf numFmtId="49" fontId="41" fillId="29" borderId="0" xfId="80" applyNumberFormat="1" applyFont="1" applyFill="1" applyBorder="1" applyAlignment="1">
      <alignment horizontal="left" vertical="center"/>
    </xf>
    <xf numFmtId="49" fontId="39" fillId="29" borderId="20" xfId="80" applyNumberFormat="1" applyFont="1" applyFill="1" applyBorder="1" applyAlignment="1">
      <alignment horizontal="left" vertical="center"/>
    </xf>
    <xf numFmtId="0" fontId="37" fillId="29" borderId="0" xfId="80" applyFont="1" applyFill="1" applyBorder="1" applyAlignment="1">
      <alignment vertical="center"/>
    </xf>
    <xf numFmtId="49" fontId="37" fillId="29" borderId="23" xfId="56" applyNumberFormat="1" applyFont="1" applyFill="1" applyBorder="1" applyAlignment="1">
      <alignment horizontal="left" vertical="center"/>
    </xf>
    <xf numFmtId="49" fontId="37" fillId="29" borderId="24" xfId="80" applyNumberFormat="1" applyFont="1" applyFill="1" applyBorder="1" applyAlignment="1">
      <alignment horizontal="center" vertical="center"/>
    </xf>
    <xf numFmtId="49" fontId="37" fillId="29" borderId="24" xfId="80" applyNumberFormat="1" applyFont="1" applyFill="1" applyBorder="1" applyAlignment="1">
      <alignment horizontal="left" vertical="center"/>
    </xf>
    <xf numFmtId="49" fontId="37" fillId="29" borderId="24" xfId="80" applyNumberFormat="1" applyFont="1" applyFill="1" applyBorder="1" applyAlignment="1">
      <alignment vertical="center"/>
    </xf>
    <xf numFmtId="49" fontId="37" fillId="29" borderId="25" xfId="80" applyNumberFormat="1" applyFont="1" applyFill="1" applyBorder="1" applyAlignment="1">
      <alignment vertical="center"/>
    </xf>
    <xf numFmtId="49" fontId="37" fillId="29" borderId="26" xfId="80" applyNumberFormat="1" applyFont="1" applyFill="1" applyBorder="1" applyAlignment="1">
      <alignment horizontal="center" vertical="center"/>
    </xf>
    <xf numFmtId="49" fontId="37" fillId="29" borderId="27" xfId="80" applyNumberFormat="1" applyFont="1" applyFill="1" applyBorder="1" applyAlignment="1">
      <alignment horizontal="center" vertical="center"/>
    </xf>
    <xf numFmtId="49" fontId="39" fillId="29" borderId="27" xfId="80" applyNumberFormat="1" applyFont="1" applyFill="1" applyBorder="1" applyAlignment="1">
      <alignment horizontal="center" vertical="center"/>
    </xf>
    <xf numFmtId="49" fontId="39" fillId="29" borderId="27" xfId="80" applyNumberFormat="1" applyFont="1" applyFill="1" applyBorder="1" applyAlignment="1">
      <alignment vertical="center"/>
    </xf>
    <xf numFmtId="49" fontId="39" fillId="29" borderId="28" xfId="80" applyNumberFormat="1" applyFont="1" applyFill="1" applyBorder="1" applyAlignment="1">
      <alignment vertical="center"/>
    </xf>
    <xf numFmtId="49" fontId="37" fillId="29" borderId="0" xfId="80" applyNumberFormat="1" applyFont="1" applyFill="1" applyAlignment="1">
      <alignment horizontal="center" vertical="center"/>
    </xf>
    <xf numFmtId="49" fontId="39" fillId="29" borderId="0" xfId="80" applyNumberFormat="1" applyFont="1" applyFill="1" applyAlignment="1">
      <alignment horizontal="center" vertical="center"/>
    </xf>
    <xf numFmtId="49" fontId="39" fillId="29" borderId="0" xfId="80" applyNumberFormat="1" applyFont="1" applyFill="1" applyAlignment="1">
      <alignment vertical="center"/>
    </xf>
    <xf numFmtId="0" fontId="37" fillId="29" borderId="0" xfId="79" applyFont="1" applyFill="1" applyAlignment="1">
      <alignment horizontal="center" vertical="center"/>
    </xf>
    <xf numFmtId="0" fontId="39" fillId="29" borderId="0" xfId="79" applyFont="1" applyFill="1" applyAlignment="1">
      <alignment horizontal="center" vertical="center"/>
    </xf>
    <xf numFmtId="49" fontId="39" fillId="29" borderId="0" xfId="80" applyNumberFormat="1" applyFont="1" applyFill="1"/>
    <xf numFmtId="0" fontId="39" fillId="29" borderId="0" xfId="80" applyFont="1" applyFill="1" applyAlignment="1">
      <alignment horizontal="center" vertical="center"/>
    </xf>
    <xf numFmtId="0" fontId="37" fillId="29" borderId="0" xfId="80" applyFont="1" applyFill="1" applyAlignment="1">
      <alignment horizontal="center" vertical="center"/>
    </xf>
    <xf numFmtId="0" fontId="39" fillId="29" borderId="0" xfId="70" applyNumberFormat="1" applyFont="1" applyFill="1" applyAlignment="1">
      <alignment vertical="center"/>
    </xf>
    <xf numFmtId="0" fontId="39" fillId="29" borderId="0" xfId="70" applyNumberFormat="1" applyFont="1" applyFill="1"/>
    <xf numFmtId="0" fontId="39" fillId="29" borderId="0" xfId="80" applyNumberFormat="1" applyFont="1" applyFill="1"/>
    <xf numFmtId="3" fontId="39" fillId="29" borderId="29" xfId="70" applyNumberFormat="1" applyFont="1" applyFill="1" applyBorder="1" applyAlignment="1">
      <alignment vertical="center"/>
    </xf>
    <xf numFmtId="3" fontId="37" fillId="29" borderId="29" xfId="70" applyNumberFormat="1" applyFont="1" applyFill="1" applyBorder="1" applyAlignment="1">
      <alignment vertical="center"/>
    </xf>
    <xf numFmtId="3" fontId="37" fillId="30" borderId="11" xfId="70" applyNumberFormat="1" applyFont="1" applyFill="1" applyBorder="1" applyAlignment="1">
      <alignment vertical="center"/>
    </xf>
    <xf numFmtId="3" fontId="39" fillId="0" borderId="21" xfId="70" applyNumberFormat="1" applyFont="1" applyFill="1" applyBorder="1" applyAlignment="1">
      <alignment vertical="center"/>
    </xf>
    <xf numFmtId="3" fontId="37" fillId="29" borderId="30" xfId="70" applyNumberFormat="1" applyFont="1" applyFill="1" applyBorder="1" applyAlignment="1">
      <alignment vertical="center"/>
    </xf>
    <xf numFmtId="3" fontId="37" fillId="29" borderId="29" xfId="71" applyNumberFormat="1" applyFont="1" applyFill="1" applyBorder="1" applyAlignment="1">
      <alignment vertical="center"/>
    </xf>
    <xf numFmtId="3" fontId="37" fillId="30" borderId="11" xfId="71" applyNumberFormat="1" applyFont="1" applyFill="1" applyBorder="1" applyAlignment="1">
      <alignment vertical="center"/>
    </xf>
    <xf numFmtId="3" fontId="37" fillId="31" borderId="31" xfId="71" applyNumberFormat="1" applyFont="1" applyFill="1" applyBorder="1" applyAlignment="1">
      <alignment vertical="center"/>
    </xf>
    <xf numFmtId="3" fontId="39" fillId="29" borderId="32" xfId="70" applyNumberFormat="1" applyFont="1" applyFill="1" applyBorder="1" applyAlignment="1">
      <alignment vertical="center"/>
    </xf>
    <xf numFmtId="0" fontId="3" fillId="0" borderId="11" xfId="80" applyFont="1" applyFill="1" applyBorder="1" applyAlignment="1">
      <alignment vertical="center" wrapText="1"/>
    </xf>
    <xf numFmtId="0" fontId="3" fillId="0" borderId="11" xfId="70" applyNumberFormat="1" applyFont="1" applyFill="1" applyBorder="1" applyAlignment="1">
      <alignment horizontal="center" vertical="center"/>
    </xf>
    <xf numFmtId="0" fontId="3" fillId="0" borderId="11" xfId="76" applyFont="1" applyFill="1" applyBorder="1" applyAlignment="1" applyProtection="1">
      <alignment horizontal="center" vertical="center" wrapText="1"/>
    </xf>
    <xf numFmtId="4" fontId="3" fillId="32" borderId="11" xfId="0" applyNumberFormat="1" applyFont="1" applyFill="1" applyBorder="1" applyAlignment="1" applyProtection="1">
      <alignment horizontal="center" vertical="center" wrapText="1"/>
    </xf>
    <xf numFmtId="0" fontId="3" fillId="32" borderId="11" xfId="76" applyFont="1" applyFill="1" applyBorder="1" applyAlignment="1" applyProtection="1">
      <alignment horizontal="center" vertical="center" wrapText="1"/>
    </xf>
    <xf numFmtId="0" fontId="3" fillId="32" borderId="11" xfId="76" applyFont="1" applyFill="1" applyBorder="1" applyAlignment="1" applyProtection="1">
      <alignment horizontal="left" vertical="center" wrapText="1"/>
    </xf>
    <xf numFmtId="0" fontId="3" fillId="32" borderId="11" xfId="76" applyFont="1" applyFill="1" applyBorder="1" applyAlignment="1" applyProtection="1">
      <alignment horizontal="left" vertical="center" wrapText="1" indent="1"/>
    </xf>
    <xf numFmtId="0" fontId="3" fillId="32" borderId="11" xfId="76" applyFont="1" applyFill="1" applyBorder="1" applyAlignment="1" applyProtection="1">
      <alignment horizontal="left" vertical="center" wrapText="1" indent="2"/>
    </xf>
    <xf numFmtId="0" fontId="3" fillId="32" borderId="11" xfId="76" applyFont="1" applyFill="1" applyBorder="1" applyAlignment="1" applyProtection="1">
      <alignment horizontal="left" vertical="center" wrapText="1" indent="3"/>
    </xf>
    <xf numFmtId="0" fontId="3" fillId="32" borderId="11" xfId="81" applyNumberFormat="1" applyFont="1" applyFill="1" applyBorder="1" applyAlignment="1">
      <alignment horizontal="center"/>
    </xf>
    <xf numFmtId="0" fontId="3" fillId="32" borderId="11" xfId="81" applyNumberFormat="1" applyFont="1" applyFill="1" applyBorder="1" applyAlignment="1">
      <alignment wrapText="1"/>
    </xf>
    <xf numFmtId="0" fontId="27" fillId="32" borderId="11" xfId="76" applyFont="1" applyFill="1" applyBorder="1" applyAlignment="1" applyProtection="1">
      <alignment horizontal="center" vertical="center" wrapText="1"/>
    </xf>
    <xf numFmtId="49" fontId="40" fillId="0" borderId="21" xfId="56" applyNumberFormat="1" applyFont="1" applyFill="1" applyBorder="1" applyAlignment="1">
      <alignment horizontal="left" vertical="center" wrapText="1"/>
    </xf>
    <xf numFmtId="49" fontId="39" fillId="29" borderId="20" xfId="56" applyNumberFormat="1" applyFont="1" applyFill="1" applyBorder="1" applyAlignment="1">
      <alignment horizontal="left" vertical="center" wrapText="1"/>
    </xf>
    <xf numFmtId="49" fontId="39" fillId="29" borderId="0" xfId="56" applyNumberFormat="1" applyFont="1" applyFill="1" applyBorder="1" applyAlignment="1">
      <alignment horizontal="right" vertical="center" wrapText="1"/>
    </xf>
    <xf numFmtId="49" fontId="39" fillId="29" borderId="0" xfId="56" applyNumberFormat="1" applyFont="1" applyFill="1" applyBorder="1" applyAlignment="1">
      <alignment horizontal="left" vertical="center" wrapText="1"/>
    </xf>
    <xf numFmtId="3" fontId="39" fillId="29" borderId="29" xfId="70" applyNumberFormat="1" applyFont="1" applyFill="1" applyBorder="1" applyAlignment="1">
      <alignment vertical="center" wrapText="1"/>
    </xf>
    <xf numFmtId="0" fontId="39" fillId="29" borderId="0" xfId="80" applyFont="1" applyFill="1" applyAlignment="1">
      <alignment vertical="center" wrapText="1"/>
    </xf>
    <xf numFmtId="0" fontId="1" fillId="0" borderId="11" xfId="76" applyFont="1" applyFill="1" applyBorder="1" applyAlignment="1" applyProtection="1">
      <alignment horizontal="center" vertical="center" wrapText="1"/>
    </xf>
    <xf numFmtId="0" fontId="1" fillId="0" borderId="11" xfId="76" applyFont="1" applyFill="1" applyBorder="1" applyAlignment="1" applyProtection="1">
      <alignment horizontal="left" vertical="center" wrapText="1" indent="2"/>
    </xf>
    <xf numFmtId="0" fontId="1" fillId="0" borderId="11" xfId="76" applyFont="1" applyFill="1" applyBorder="1" applyAlignment="1" applyProtection="1">
      <alignment horizontal="left" vertical="center" wrapText="1" indent="3"/>
    </xf>
    <xf numFmtId="0" fontId="1" fillId="32" borderId="11" xfId="76" applyFont="1" applyFill="1" applyBorder="1" applyAlignment="1" applyProtection="1">
      <alignment horizontal="left" vertical="center" wrapText="1" indent="2"/>
    </xf>
    <xf numFmtId="0" fontId="3" fillId="0" borderId="11" xfId="76" applyFont="1" applyFill="1" applyBorder="1" applyAlignment="1" applyProtection="1">
      <alignment horizontal="left" vertical="center" wrapText="1" indent="1"/>
    </xf>
    <xf numFmtId="0" fontId="1" fillId="32" borderId="11" xfId="76" applyFont="1" applyFill="1" applyBorder="1" applyAlignment="1" applyProtection="1">
      <alignment horizontal="center" vertical="center" wrapText="1"/>
    </xf>
    <xf numFmtId="0" fontId="3" fillId="0" borderId="11" xfId="76" applyFont="1" applyFill="1" applyBorder="1" applyAlignment="1" applyProtection="1">
      <alignment horizontal="left" vertical="center" wrapText="1" indent="3"/>
    </xf>
    <xf numFmtId="0" fontId="1" fillId="0" borderId="11" xfId="76" applyFont="1" applyFill="1" applyBorder="1" applyAlignment="1" applyProtection="1">
      <alignment horizontal="left" vertical="center" wrapText="1" indent="5"/>
    </xf>
    <xf numFmtId="0" fontId="1" fillId="0" borderId="0" xfId="0" applyFont="1" applyFill="1"/>
    <xf numFmtId="0" fontId="1" fillId="0" borderId="11" xfId="76" applyFont="1" applyFill="1" applyBorder="1" applyAlignment="1" applyProtection="1">
      <alignment horizontal="left" vertical="center" wrapText="1" indent="4"/>
    </xf>
    <xf numFmtId="0" fontId="1" fillId="0" borderId="11" xfId="76" applyFont="1" applyFill="1" applyBorder="1" applyAlignment="1" applyProtection="1">
      <alignment horizontal="left" vertical="center" wrapText="1" indent="6"/>
    </xf>
    <xf numFmtId="0" fontId="1" fillId="0" borderId="11" xfId="83" applyFont="1" applyFill="1" applyBorder="1" applyAlignment="1">
      <alignment horizontal="center"/>
    </xf>
    <xf numFmtId="0" fontId="1" fillId="0" borderId="11" xfId="76" applyFont="1" applyFill="1" applyBorder="1" applyAlignment="1" applyProtection="1">
      <alignment horizontal="left" vertical="center" wrapText="1" indent="7"/>
    </xf>
    <xf numFmtId="0" fontId="25" fillId="0" borderId="0" xfId="0" applyNumberFormat="1" applyFont="1" applyFill="1" applyAlignment="1">
      <alignment horizontal="center"/>
    </xf>
    <xf numFmtId="167" fontId="28" fillId="0" borderId="0" xfId="0" applyNumberFormat="1" applyFont="1" applyFill="1" applyAlignment="1">
      <alignment horizontal="center"/>
    </xf>
    <xf numFmtId="167" fontId="25" fillId="0" borderId="0" xfId="0" applyNumberFormat="1" applyFont="1" applyFill="1"/>
    <xf numFmtId="0" fontId="1" fillId="32" borderId="11" xfId="76" applyFont="1" applyFill="1" applyBorder="1" applyAlignment="1" applyProtection="1">
      <alignment horizontal="left" vertical="center" wrapText="1" indent="3"/>
    </xf>
    <xf numFmtId="0" fontId="1" fillId="32" borderId="11" xfId="76" applyFont="1" applyFill="1" applyBorder="1" applyAlignment="1" applyProtection="1">
      <alignment horizontal="left" vertical="center" wrapText="1" indent="5"/>
    </xf>
    <xf numFmtId="0" fontId="1" fillId="32" borderId="11" xfId="76" applyFont="1" applyFill="1" applyBorder="1" applyAlignment="1" applyProtection="1">
      <alignment horizontal="left" vertical="center" wrapText="1" indent="4"/>
    </xf>
    <xf numFmtId="0" fontId="1" fillId="32" borderId="11" xfId="76" applyFont="1" applyFill="1" applyBorder="1" applyAlignment="1" applyProtection="1">
      <alignment horizontal="left" vertical="center" wrapText="1" indent="6"/>
    </xf>
    <xf numFmtId="0" fontId="1" fillId="26" borderId="11" xfId="76" applyFont="1" applyFill="1" applyBorder="1" applyAlignment="1" applyProtection="1">
      <alignment horizontal="center" vertical="center" wrapText="1"/>
    </xf>
    <xf numFmtId="0" fontId="1" fillId="26" borderId="11" xfId="76" applyFont="1" applyFill="1" applyBorder="1" applyAlignment="1" applyProtection="1">
      <alignment horizontal="left" vertical="center" wrapText="1" indent="4"/>
    </xf>
    <xf numFmtId="0" fontId="1" fillId="0" borderId="11" xfId="76" applyFont="1" applyFill="1" applyBorder="1" applyAlignment="1" applyProtection="1">
      <alignment horizontal="left" vertical="center" wrapText="1" indent="8"/>
    </xf>
    <xf numFmtId="168" fontId="3" fillId="32" borderId="11" xfId="67" applyNumberFormat="1" applyFont="1" applyFill="1" applyBorder="1" applyAlignment="1" applyProtection="1">
      <alignment horizontal="center" vertical="center" wrapText="1"/>
    </xf>
    <xf numFmtId="168" fontId="1" fillId="32" borderId="11" xfId="67" applyNumberFormat="1" applyFont="1" applyFill="1" applyBorder="1" applyAlignment="1" applyProtection="1">
      <alignment vertical="center" wrapText="1"/>
    </xf>
    <xf numFmtId="168" fontId="3" fillId="32" borderId="11" xfId="67" applyNumberFormat="1" applyFont="1" applyFill="1" applyBorder="1" applyAlignment="1" applyProtection="1">
      <alignment vertical="center" wrapText="1"/>
    </xf>
    <xf numFmtId="168" fontId="1" fillId="0" borderId="11" xfId="67" applyNumberFormat="1" applyFont="1" applyFill="1" applyBorder="1" applyAlignment="1" applyProtection="1">
      <alignment vertical="center" wrapText="1"/>
    </xf>
    <xf numFmtId="168" fontId="3" fillId="0" borderId="11" xfId="67" applyNumberFormat="1" applyFont="1" applyFill="1" applyBorder="1" applyAlignment="1" applyProtection="1">
      <alignment vertical="center" wrapText="1"/>
    </xf>
    <xf numFmtId="168" fontId="3" fillId="32" borderId="11" xfId="67" applyNumberFormat="1" applyFont="1" applyFill="1" applyBorder="1" applyAlignment="1">
      <alignment wrapText="1"/>
    </xf>
    <xf numFmtId="168" fontId="1" fillId="26" borderId="11" xfId="67" applyNumberFormat="1" applyFont="1" applyFill="1" applyBorder="1" applyAlignment="1" applyProtection="1">
      <alignment vertical="center" wrapText="1"/>
    </xf>
    <xf numFmtId="168" fontId="1" fillId="32" borderId="0" xfId="0" applyNumberFormat="1" applyFont="1" applyFill="1"/>
    <xf numFmtId="168" fontId="1" fillId="0" borderId="11" xfId="67" applyNumberFormat="1" applyFont="1" applyFill="1" applyBorder="1" applyAlignment="1"/>
    <xf numFmtId="168" fontId="26" fillId="0" borderId="0" xfId="67" applyNumberFormat="1" applyFont="1" applyFill="1" applyBorder="1" applyAlignment="1"/>
    <xf numFmtId="168" fontId="2" fillId="0" borderId="0" xfId="67" applyNumberFormat="1" applyFont="1" applyFill="1" applyBorder="1" applyAlignment="1">
      <alignment vertical="center"/>
    </xf>
    <xf numFmtId="169" fontId="25" fillId="0" borderId="0" xfId="0" applyNumberFormat="1" applyFont="1" applyFill="1"/>
    <xf numFmtId="167" fontId="45" fillId="0" borderId="0" xfId="0" applyNumberFormat="1" applyFont="1" applyFill="1" applyAlignment="1">
      <alignment horizontal="center"/>
    </xf>
    <xf numFmtId="0" fontId="2" fillId="0" borderId="0" xfId="82" applyFont="1" applyFill="1" applyBorder="1" applyAlignment="1">
      <alignment horizontal="center" vertical="center"/>
    </xf>
    <xf numFmtId="0" fontId="2" fillId="0" borderId="0" xfId="82" applyFont="1" applyFill="1" applyAlignment="1">
      <alignment horizontal="center" vertical="center"/>
    </xf>
    <xf numFmtId="0" fontId="2" fillId="0" borderId="0" xfId="76" applyFont="1" applyFill="1" applyAlignment="1">
      <alignment vertical="center"/>
    </xf>
    <xf numFmtId="4" fontId="0" fillId="0" borderId="0" xfId="0" applyNumberFormat="1"/>
    <xf numFmtId="165" fontId="37" fillId="29" borderId="19" xfId="70" applyFont="1" applyFill="1" applyBorder="1" applyAlignment="1">
      <alignment vertical="center"/>
    </xf>
    <xf numFmtId="4" fontId="34" fillId="29" borderId="46" xfId="69" applyNumberFormat="1" applyFont="1" applyFill="1" applyBorder="1" applyAlignment="1">
      <alignment horizontal="center" vertical="center" wrapText="1"/>
    </xf>
    <xf numFmtId="4" fontId="34" fillId="29" borderId="11" xfId="69" applyNumberFormat="1" applyFont="1" applyFill="1" applyBorder="1" applyAlignment="1">
      <alignment horizontal="center" vertical="center" wrapText="1"/>
    </xf>
    <xf numFmtId="10" fontId="37" fillId="30" borderId="11" xfId="105" applyNumberFormat="1" applyFont="1" applyFill="1" applyBorder="1" applyAlignment="1">
      <alignment vertical="center"/>
    </xf>
    <xf numFmtId="10" fontId="39" fillId="29" borderId="29" xfId="105" applyNumberFormat="1" applyFont="1" applyFill="1" applyBorder="1" applyAlignment="1">
      <alignment vertical="center"/>
    </xf>
    <xf numFmtId="10" fontId="37" fillId="29" borderId="29" xfId="105" applyNumberFormat="1" applyFont="1" applyFill="1" applyBorder="1" applyAlignment="1">
      <alignment vertical="center"/>
    </xf>
    <xf numFmtId="10" fontId="37" fillId="31" borderId="31" xfId="105" applyNumberFormat="1" applyFont="1" applyFill="1" applyBorder="1" applyAlignment="1">
      <alignment vertical="center"/>
    </xf>
    <xf numFmtId="10" fontId="37" fillId="29" borderId="30" xfId="105" applyNumberFormat="1" applyFont="1" applyFill="1" applyBorder="1" applyAlignment="1">
      <alignment vertical="center"/>
    </xf>
    <xf numFmtId="10" fontId="39" fillId="29" borderId="32" xfId="105" applyNumberFormat="1" applyFont="1" applyFill="1" applyBorder="1" applyAlignment="1">
      <alignment vertical="center"/>
    </xf>
    <xf numFmtId="10" fontId="37" fillId="29" borderId="19" xfId="105" applyNumberFormat="1" applyFont="1" applyFill="1" applyBorder="1" applyAlignment="1">
      <alignment vertical="center"/>
    </xf>
    <xf numFmtId="10" fontId="39" fillId="29" borderId="29" xfId="105" applyNumberFormat="1" applyFont="1" applyFill="1" applyBorder="1" applyAlignment="1">
      <alignment vertical="center" wrapText="1"/>
    </xf>
    <xf numFmtId="10" fontId="39" fillId="0" borderId="21" xfId="105" applyNumberFormat="1" applyFont="1" applyFill="1" applyBorder="1" applyAlignment="1">
      <alignment vertical="center"/>
    </xf>
    <xf numFmtId="0" fontId="1" fillId="0" borderId="0" xfId="0" applyFont="1"/>
    <xf numFmtId="49" fontId="43" fillId="31" borderId="39" xfId="56" applyNumberFormat="1" applyFont="1" applyFill="1" applyBorder="1" applyAlignment="1">
      <alignment horizontal="left" vertical="center"/>
    </xf>
    <xf numFmtId="49" fontId="37" fillId="31" borderId="40" xfId="56" applyNumberFormat="1" applyFont="1" applyFill="1" applyBorder="1" applyAlignment="1">
      <alignment horizontal="left" vertical="center"/>
    </xf>
    <xf numFmtId="49" fontId="37" fillId="31" borderId="41" xfId="56" applyNumberFormat="1" applyFont="1" applyFill="1" applyBorder="1" applyAlignment="1">
      <alignment horizontal="left" vertical="center"/>
    </xf>
    <xf numFmtId="0" fontId="44" fillId="29" borderId="42" xfId="80" applyFont="1" applyFill="1" applyBorder="1" applyAlignment="1">
      <alignment horizontal="center" vertical="center"/>
    </xf>
    <xf numFmtId="0" fontId="44" fillId="29" borderId="17" xfId="80" applyFont="1" applyFill="1" applyBorder="1" applyAlignment="1">
      <alignment horizontal="center" vertical="center"/>
    </xf>
    <xf numFmtId="0" fontId="44" fillId="29" borderId="43" xfId="80" applyFont="1" applyFill="1" applyBorder="1" applyAlignment="1">
      <alignment horizontal="center" vertical="center"/>
    </xf>
    <xf numFmtId="0" fontId="44" fillId="29" borderId="44" xfId="80" applyFont="1" applyFill="1" applyBorder="1" applyAlignment="1">
      <alignment horizontal="center" vertical="center"/>
    </xf>
    <xf numFmtId="49" fontId="37" fillId="30" borderId="36" xfId="56" applyNumberFormat="1" applyFont="1" applyFill="1" applyBorder="1" applyAlignment="1">
      <alignment horizontal="left" vertical="center"/>
    </xf>
    <xf numFmtId="49" fontId="37" fillId="30" borderId="12" xfId="56" applyNumberFormat="1" applyFont="1" applyFill="1" applyBorder="1" applyAlignment="1">
      <alignment horizontal="left" vertical="center"/>
    </xf>
    <xf numFmtId="49" fontId="39" fillId="29" borderId="0" xfId="80" applyNumberFormat="1" applyFont="1" applyFill="1" applyBorder="1" applyAlignment="1">
      <alignment horizontal="left" vertical="center" wrapText="1"/>
    </xf>
    <xf numFmtId="49" fontId="39" fillId="29" borderId="21" xfId="80" applyNumberFormat="1" applyFont="1" applyFill="1" applyBorder="1" applyAlignment="1">
      <alignment horizontal="left" vertical="center" wrapText="1"/>
    </xf>
    <xf numFmtId="4" fontId="34" fillId="29" borderId="42" xfId="69" applyNumberFormat="1" applyFont="1" applyFill="1" applyBorder="1" applyAlignment="1">
      <alignment horizontal="center" vertical="center" wrapText="1"/>
    </xf>
    <xf numFmtId="4" fontId="34" fillId="29" borderId="18" xfId="69" applyNumberFormat="1" applyFont="1" applyFill="1" applyBorder="1" applyAlignment="1">
      <alignment horizontal="center" vertical="center" wrapText="1"/>
    </xf>
    <xf numFmtId="4" fontId="34" fillId="29" borderId="43" xfId="69" applyNumberFormat="1" applyFont="1" applyFill="1" applyBorder="1" applyAlignment="1">
      <alignment horizontal="center" vertical="center" wrapText="1"/>
    </xf>
    <xf numFmtId="4" fontId="34" fillId="29" borderId="45" xfId="69" applyNumberFormat="1" applyFont="1" applyFill="1" applyBorder="1" applyAlignment="1">
      <alignment horizontal="center" vertical="center" wrapText="1"/>
    </xf>
    <xf numFmtId="4" fontId="34" fillId="29" borderId="47" xfId="69" applyNumberFormat="1" applyFont="1" applyFill="1" applyBorder="1" applyAlignment="1">
      <alignment horizontal="center" vertical="center" wrapText="1"/>
    </xf>
    <xf numFmtId="4" fontId="34" fillId="29" borderId="35" xfId="69" applyNumberFormat="1" applyFont="1" applyFill="1" applyBorder="1" applyAlignment="1">
      <alignment horizontal="center" vertical="center" wrapText="1"/>
    </xf>
    <xf numFmtId="4" fontId="34" fillId="29" borderId="37" xfId="69" applyNumberFormat="1" applyFont="1" applyFill="1" applyBorder="1" applyAlignment="1">
      <alignment horizontal="center" vertical="center" wrapText="1"/>
    </xf>
    <xf numFmtId="4" fontId="34" fillId="29" borderId="38" xfId="69" applyNumberFormat="1" applyFont="1" applyFill="1" applyBorder="1" applyAlignment="1">
      <alignment horizontal="center" vertical="center" wrapText="1"/>
    </xf>
    <xf numFmtId="49" fontId="39" fillId="29" borderId="0" xfId="56" applyNumberFormat="1" applyFont="1" applyFill="1" applyBorder="1" applyAlignment="1">
      <alignment horizontal="left" vertical="center" wrapText="1"/>
    </xf>
    <xf numFmtId="49" fontId="39" fillId="29" borderId="21" xfId="56" applyNumberFormat="1" applyFont="1" applyFill="1" applyBorder="1" applyAlignment="1">
      <alignment horizontal="left" vertical="center" wrapText="1"/>
    </xf>
    <xf numFmtId="0" fontId="38" fillId="29" borderId="33" xfId="56" applyNumberFormat="1" applyFont="1" applyFill="1" applyBorder="1" applyAlignment="1">
      <alignment horizontal="center" vertical="center" wrapText="1"/>
    </xf>
    <xf numFmtId="0" fontId="38" fillId="29" borderId="34" xfId="56" applyNumberFormat="1" applyFont="1" applyFill="1" applyBorder="1" applyAlignment="1">
      <alignment horizontal="center" vertical="center" wrapText="1"/>
    </xf>
    <xf numFmtId="0" fontId="38" fillId="29" borderId="35" xfId="56" applyNumberFormat="1" applyFont="1" applyFill="1" applyBorder="1" applyAlignment="1">
      <alignment horizontal="center" vertical="center" wrapText="1"/>
    </xf>
    <xf numFmtId="0" fontId="38" fillId="29" borderId="22" xfId="56" applyNumberFormat="1" applyFont="1" applyFill="1" applyBorder="1" applyAlignment="1">
      <alignment horizontal="center" vertical="center" wrapText="1"/>
    </xf>
    <xf numFmtId="0" fontId="38" fillId="29" borderId="36" xfId="56" applyNumberFormat="1" applyFont="1" applyFill="1" applyBorder="1" applyAlignment="1">
      <alignment horizontal="center" vertical="center" wrapText="1"/>
    </xf>
    <xf numFmtId="0" fontId="38" fillId="29" borderId="12" xfId="56" applyNumberFormat="1" applyFont="1" applyFill="1" applyBorder="1" applyAlignment="1">
      <alignment horizontal="center" vertical="center" wrapText="1"/>
    </xf>
  </cellXfs>
  <cellStyles count="10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Comma [0]_Marilù (v.0.5)" xfId="55"/>
    <cellStyle name="Comma [0]_Marilù (v.0.5) 2" xfId="56"/>
    <cellStyle name="Comma 2" xfId="57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put" xfId="65" builtinId="20" customBuiltin="1"/>
    <cellStyle name="Linked Cell" xfId="66"/>
    <cellStyle name="Migliaia" xfId="67" builtinId="3"/>
    <cellStyle name="Migliaia (0)_Foglio1 (2)" xfId="68"/>
    <cellStyle name="Migliaia [0]_Asl 6_Raccordo MONISANIT al 31 dicembre 2007 (v. FINALE del 30.05.2008)" xfId="69"/>
    <cellStyle name="Migliaia [0]_Asl 6_Raccordo MONISANIT al 31 dicembre 2007 (v. FINALE del 30.05.2008) 2" xfId="70"/>
    <cellStyle name="Migliaia_Asl 6_Raccordo MONISANIT al 31 dicembre 2007 (v. FINALE del 30.05.2008) 2" xfId="71"/>
    <cellStyle name="Neutral" xfId="72"/>
    <cellStyle name="Neutrale" xfId="73" builtinId="28" customBuiltin="1"/>
    <cellStyle name="Normal 2" xfId="74"/>
    <cellStyle name="Normal_Sheet1" xfId="75"/>
    <cellStyle name="Normal_Sheet1 2" xfId="76"/>
    <cellStyle name="Normale" xfId="0" builtinId="0"/>
    <cellStyle name="Normale 2" xfId="77"/>
    <cellStyle name="Normale 2 2" xfId="78"/>
    <cellStyle name="Normale_Asl 6_Raccordo MONISANIT al 31 dicembre 2007 (v. FINALE del 30.05.2008)" xfId="79"/>
    <cellStyle name="Normale_Asl 6_Raccordo MONISANIT al 31 dicembre 2007 (v. FINALE del 30.05.2008) 2" xfId="80"/>
    <cellStyle name="Normale_Cartel1" xfId="81"/>
    <cellStyle name="Normale_Mattone CE_Budget 2008 (v. 0.5 del 12.02.2008) 2" xfId="82"/>
    <cellStyle name="Normale_Riclassif_pdcRER_CEM2012_CEM118_per_AZiende" xfId="83"/>
    <cellStyle name="Nota" xfId="84" builtinId="10" customBuiltin="1"/>
    <cellStyle name="Note" xfId="85"/>
    <cellStyle name="Output" xfId="86" builtinId="21" customBuiltin="1"/>
    <cellStyle name="Percent 2" xfId="87"/>
    <cellStyle name="Percent 3" xfId="88"/>
    <cellStyle name="Percentuale" xfId="105" builtinId="5"/>
    <cellStyle name="SAS FM Row drillable header" xfId="89"/>
    <cellStyle name="SAS FM Row header" xfId="90"/>
    <cellStyle name="Testo avviso" xfId="91" builtinId="11" customBuiltin="1"/>
    <cellStyle name="Testo descrittivo" xfId="92" builtinId="53" customBuiltin="1"/>
    <cellStyle name="Title" xfId="93"/>
    <cellStyle name="Titolo" xfId="94" builtinId="15" customBuiltin="1"/>
    <cellStyle name="Titolo 1" xfId="95" builtinId="16" customBuiltin="1"/>
    <cellStyle name="Titolo 2" xfId="96" builtinId="17" customBuiltin="1"/>
    <cellStyle name="Titolo 3" xfId="97" builtinId="18" customBuiltin="1"/>
    <cellStyle name="Titolo 4" xfId="98" builtinId="19" customBuiltin="1"/>
    <cellStyle name="Total" xfId="99"/>
    <cellStyle name="Totale" xfId="100" builtinId="25" customBuiltin="1"/>
    <cellStyle name="Valore non valido" xfId="101" builtinId="27" customBuiltin="1"/>
    <cellStyle name="Valore valido" xfId="102" builtinId="26" customBuiltin="1"/>
    <cellStyle name="Valuta (0)_basp2001-labanti" xfId="103"/>
    <cellStyle name="Warning Text" xfId="104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DatiEsterni_1" refreshOnLoad="1" connectionId="1" autoFormatId="16" applyNumberFormats="0" applyBorderFormats="0" applyFontFormats="0" applyPatternFormats="0" applyAlignmentFormats="0" applyWidthHeightFormats="0">
  <queryTableRefresh nextId="2">
    <queryTableFields count="1">
      <queryTableField id="1" name="Importo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_Qry30" displayName="_Qry30" ref="C2:C565" tableType="queryTable" totalsRowShown="0" headerRowDxfId="2" dataDxfId="1">
  <autoFilter ref="C2:C565"/>
  <tableColumns count="1">
    <tableColumn id="1" uniqueName="1" name="Importo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7"/>
  <sheetViews>
    <sheetView workbookViewId="0">
      <pane ySplit="1" topLeftCell="A2" activePane="bottomLeft" state="frozen"/>
      <selection pane="bottomLeft" activeCell="C2" sqref="C2"/>
    </sheetView>
  </sheetViews>
  <sheetFormatPr defaultColWidth="9.28515625" defaultRowHeight="11.25" x14ac:dyDescent="0.2"/>
  <cols>
    <col min="1" max="1" width="6.7109375" style="22" bestFit="1" customWidth="1"/>
    <col min="2" max="2" width="69.28515625" style="22" customWidth="1"/>
    <col min="3" max="3" width="19.85546875" style="151" customWidth="1"/>
    <col min="4" max="4" width="11.85546875" style="151" bestFit="1" customWidth="1"/>
    <col min="5" max="16384" width="9.28515625" style="22"/>
  </cols>
  <sheetData>
    <row r="1" spans="1:4" x14ac:dyDescent="0.2">
      <c r="C1" s="149" t="s">
        <v>1384</v>
      </c>
      <c r="D1" s="149"/>
    </row>
    <row r="2" spans="1:4" x14ac:dyDescent="0.2">
      <c r="A2" s="21" t="s">
        <v>856</v>
      </c>
      <c r="B2" s="21" t="s">
        <v>857</v>
      </c>
      <c r="C2" s="171" t="s">
        <v>858</v>
      </c>
      <c r="D2" s="150"/>
    </row>
    <row r="3" spans="1:4" ht="12.75" x14ac:dyDescent="0.2">
      <c r="A3" t="s">
        <v>824</v>
      </c>
      <c r="B3" t="s">
        <v>948</v>
      </c>
      <c r="C3"/>
      <c r="D3" s="170"/>
    </row>
    <row r="4" spans="1:4" ht="12.75" x14ac:dyDescent="0.2">
      <c r="A4" t="s">
        <v>82</v>
      </c>
      <c r="B4" t="s">
        <v>949</v>
      </c>
      <c r="C4"/>
      <c r="D4" s="170"/>
    </row>
    <row r="5" spans="1:4" ht="12.75" x14ac:dyDescent="0.2">
      <c r="A5" t="s">
        <v>83</v>
      </c>
      <c r="B5" t="s">
        <v>84</v>
      </c>
      <c r="C5"/>
      <c r="D5" s="170"/>
    </row>
    <row r="6" spans="1:4" ht="12.75" x14ac:dyDescent="0.2">
      <c r="A6" t="s">
        <v>85</v>
      </c>
      <c r="B6" t="s">
        <v>86</v>
      </c>
      <c r="C6"/>
      <c r="D6" s="170"/>
    </row>
    <row r="7" spans="1:4" ht="12.75" x14ac:dyDescent="0.2">
      <c r="A7" t="s">
        <v>1131</v>
      </c>
      <c r="B7" t="s">
        <v>1132</v>
      </c>
      <c r="C7" s="175">
        <v>1121923692.1099999</v>
      </c>
      <c r="D7" s="170"/>
    </row>
    <row r="8" spans="1:4" ht="12.75" x14ac:dyDescent="0.2">
      <c r="A8" t="s">
        <v>1133</v>
      </c>
      <c r="B8" t="s">
        <v>1134</v>
      </c>
      <c r="C8" s="175">
        <v>69864881.20416142</v>
      </c>
      <c r="D8" s="170"/>
    </row>
    <row r="9" spans="1:4" ht="12.75" x14ac:dyDescent="0.2">
      <c r="A9" t="s">
        <v>1135</v>
      </c>
      <c r="B9" t="s">
        <v>1136</v>
      </c>
      <c r="C9"/>
      <c r="D9" s="170"/>
    </row>
    <row r="10" spans="1:4" ht="12.75" x14ac:dyDescent="0.2">
      <c r="A10" t="s">
        <v>1137</v>
      </c>
      <c r="B10" t="s">
        <v>1138</v>
      </c>
      <c r="C10"/>
      <c r="D10" s="170"/>
    </row>
    <row r="11" spans="1:4" ht="12.75" x14ac:dyDescent="0.2">
      <c r="A11" t="s">
        <v>1139</v>
      </c>
      <c r="B11" t="s">
        <v>1140</v>
      </c>
      <c r="C11" s="175">
        <v>14700051.640000001</v>
      </c>
      <c r="D11" s="170"/>
    </row>
    <row r="12" spans="1:4" ht="12.75" x14ac:dyDescent="0.2">
      <c r="A12" t="s">
        <v>1141</v>
      </c>
      <c r="B12" t="s">
        <v>1142</v>
      </c>
      <c r="C12"/>
      <c r="D12" s="170"/>
    </row>
    <row r="13" spans="1:4" ht="12.75" x14ac:dyDescent="0.2">
      <c r="A13" t="s">
        <v>87</v>
      </c>
      <c r="B13" t="s">
        <v>88</v>
      </c>
      <c r="C13" s="175">
        <v>9548503.5399999991</v>
      </c>
      <c r="D13" s="170"/>
    </row>
    <row r="14" spans="1:4" ht="12.75" x14ac:dyDescent="0.2">
      <c r="A14" t="s">
        <v>89</v>
      </c>
      <c r="B14" t="s">
        <v>90</v>
      </c>
      <c r="C14"/>
      <c r="D14" s="170"/>
    </row>
    <row r="15" spans="1:4" ht="12.75" x14ac:dyDescent="0.2">
      <c r="A15" t="s">
        <v>91</v>
      </c>
      <c r="B15" t="s">
        <v>92</v>
      </c>
      <c r="C15"/>
      <c r="D15" s="170"/>
    </row>
    <row r="16" spans="1:4" ht="12.75" x14ac:dyDescent="0.2">
      <c r="A16" t="s">
        <v>93</v>
      </c>
      <c r="B16" t="s">
        <v>94</v>
      </c>
      <c r="C16"/>
      <c r="D16" s="170"/>
    </row>
    <row r="17" spans="1:4" ht="12.75" x14ac:dyDescent="0.2">
      <c r="A17" t="s">
        <v>95</v>
      </c>
      <c r="B17" t="s">
        <v>1382</v>
      </c>
      <c r="C17"/>
      <c r="D17" s="170"/>
    </row>
    <row r="18" spans="1:4" ht="12.75" x14ac:dyDescent="0.2">
      <c r="A18" t="s">
        <v>96</v>
      </c>
      <c r="B18" t="s">
        <v>1383</v>
      </c>
      <c r="C18" s="175">
        <v>13257122.49</v>
      </c>
      <c r="D18" s="170"/>
    </row>
    <row r="19" spans="1:4" ht="12.75" x14ac:dyDescent="0.2">
      <c r="A19" t="s">
        <v>97</v>
      </c>
      <c r="B19" t="s">
        <v>98</v>
      </c>
      <c r="C19"/>
      <c r="D19" s="170"/>
    </row>
    <row r="20" spans="1:4" ht="12.75" x14ac:dyDescent="0.2">
      <c r="A20" t="s">
        <v>99</v>
      </c>
      <c r="B20" t="s">
        <v>100</v>
      </c>
      <c r="C20"/>
      <c r="D20" s="170"/>
    </row>
    <row r="21" spans="1:4" ht="12.75" x14ac:dyDescent="0.2">
      <c r="A21" t="s">
        <v>101</v>
      </c>
      <c r="B21" t="s">
        <v>102</v>
      </c>
      <c r="C21" s="175">
        <v>9630</v>
      </c>
      <c r="D21" s="170"/>
    </row>
    <row r="22" spans="1:4" ht="12.75" x14ac:dyDescent="0.2">
      <c r="A22" t="s">
        <v>103</v>
      </c>
      <c r="B22" t="s">
        <v>104</v>
      </c>
      <c r="C22"/>
      <c r="D22" s="170"/>
    </row>
    <row r="23" spans="1:4" ht="12.75" x14ac:dyDescent="0.2">
      <c r="A23" t="s">
        <v>105</v>
      </c>
      <c r="B23" t="s">
        <v>106</v>
      </c>
      <c r="C23"/>
      <c r="D23" s="170"/>
    </row>
    <row r="24" spans="1:4" ht="12.75" x14ac:dyDescent="0.2">
      <c r="A24" t="s">
        <v>1143</v>
      </c>
      <c r="B24" t="s">
        <v>1144</v>
      </c>
      <c r="C24" s="175">
        <v>0</v>
      </c>
      <c r="D24" s="170"/>
    </row>
    <row r="25" spans="1:4" ht="12.75" x14ac:dyDescent="0.2">
      <c r="A25" t="s">
        <v>107</v>
      </c>
      <c r="B25" t="s">
        <v>1145</v>
      </c>
      <c r="C25" s="175">
        <v>1218992.7</v>
      </c>
      <c r="D25" s="170"/>
    </row>
    <row r="26" spans="1:4" ht="12.75" x14ac:dyDescent="0.2">
      <c r="A26" t="s">
        <v>108</v>
      </c>
      <c r="B26" t="s">
        <v>1146</v>
      </c>
      <c r="C26" s="175">
        <v>2478435</v>
      </c>
      <c r="D26" s="170"/>
    </row>
    <row r="27" spans="1:4" ht="12.75" x14ac:dyDescent="0.2">
      <c r="A27" t="s">
        <v>109</v>
      </c>
      <c r="B27" t="s">
        <v>1147</v>
      </c>
      <c r="C27"/>
      <c r="D27" s="170"/>
    </row>
    <row r="28" spans="1:4" ht="12.75" x14ac:dyDescent="0.2">
      <c r="A28" t="s">
        <v>1148</v>
      </c>
      <c r="B28" t="s">
        <v>1149</v>
      </c>
      <c r="C28"/>
      <c r="D28" s="170"/>
    </row>
    <row r="29" spans="1:4" ht="12.75" x14ac:dyDescent="0.2">
      <c r="A29" t="s">
        <v>110</v>
      </c>
      <c r="B29" t="s">
        <v>111</v>
      </c>
      <c r="C29"/>
      <c r="D29" s="170"/>
    </row>
    <row r="30" spans="1:4" ht="12.75" x14ac:dyDescent="0.2">
      <c r="A30" t="s">
        <v>112</v>
      </c>
      <c r="B30" t="s">
        <v>113</v>
      </c>
      <c r="C30"/>
      <c r="D30" s="170"/>
    </row>
    <row r="31" spans="1:4" ht="12.75" x14ac:dyDescent="0.2">
      <c r="A31" t="s">
        <v>114</v>
      </c>
      <c r="B31" t="s">
        <v>115</v>
      </c>
      <c r="C31"/>
      <c r="D31" s="170"/>
    </row>
    <row r="32" spans="1:4" ht="12.75" x14ac:dyDescent="0.2">
      <c r="A32" t="s">
        <v>116</v>
      </c>
      <c r="B32" t="s">
        <v>117</v>
      </c>
      <c r="C32" s="175"/>
      <c r="D32" s="170"/>
    </row>
    <row r="33" spans="1:4" ht="12.75" x14ac:dyDescent="0.2">
      <c r="A33" t="s">
        <v>118</v>
      </c>
      <c r="B33" t="s">
        <v>119</v>
      </c>
      <c r="C33" s="175">
        <v>0</v>
      </c>
      <c r="D33" s="170"/>
    </row>
    <row r="34" spans="1:4" ht="12.75" x14ac:dyDescent="0.2">
      <c r="A34" t="s">
        <v>120</v>
      </c>
      <c r="B34" t="s">
        <v>121</v>
      </c>
      <c r="C34"/>
      <c r="D34" s="170"/>
    </row>
    <row r="35" spans="1:4" ht="12.75" x14ac:dyDescent="0.2">
      <c r="A35" t="s">
        <v>122</v>
      </c>
      <c r="B35" t="s">
        <v>123</v>
      </c>
      <c r="C35"/>
      <c r="D35" s="170"/>
    </row>
    <row r="36" spans="1:4" ht="12.75" x14ac:dyDescent="0.2">
      <c r="A36" t="s">
        <v>124</v>
      </c>
      <c r="B36" t="s">
        <v>125</v>
      </c>
      <c r="C36">
        <v>0</v>
      </c>
      <c r="D36" s="170"/>
    </row>
    <row r="37" spans="1:4" ht="12.75" x14ac:dyDescent="0.2">
      <c r="A37" t="s">
        <v>126</v>
      </c>
      <c r="B37" t="s">
        <v>127</v>
      </c>
      <c r="C37">
        <v>0</v>
      </c>
      <c r="D37" s="170"/>
    </row>
    <row r="38" spans="1:4" ht="12.75" x14ac:dyDescent="0.2">
      <c r="A38" t="s">
        <v>128</v>
      </c>
      <c r="B38" t="s">
        <v>129</v>
      </c>
      <c r="C38"/>
      <c r="D38" s="170"/>
    </row>
    <row r="39" spans="1:4" ht="12.75" x14ac:dyDescent="0.2">
      <c r="A39" t="s">
        <v>1150</v>
      </c>
      <c r="B39" t="s">
        <v>1151</v>
      </c>
      <c r="C39">
        <v>1340327</v>
      </c>
      <c r="D39" s="170"/>
    </row>
    <row r="40" spans="1:4" ht="12.75" x14ac:dyDescent="0.2">
      <c r="A40" t="s">
        <v>130</v>
      </c>
      <c r="B40" t="s">
        <v>1152</v>
      </c>
      <c r="C40" s="175">
        <v>515136.84</v>
      </c>
      <c r="D40" s="170"/>
    </row>
    <row r="41" spans="1:4" ht="12.75" x14ac:dyDescent="0.2">
      <c r="A41" t="s">
        <v>131</v>
      </c>
      <c r="B41" t="s">
        <v>1153</v>
      </c>
      <c r="C41" s="175">
        <v>0</v>
      </c>
      <c r="D41" s="170"/>
    </row>
    <row r="42" spans="1:4" ht="12.75" x14ac:dyDescent="0.2">
      <c r="A42" t="s">
        <v>263</v>
      </c>
      <c r="B42" t="s">
        <v>1154</v>
      </c>
      <c r="C42">
        <v>0</v>
      </c>
      <c r="D42" s="170"/>
    </row>
    <row r="43" spans="1:4" ht="12.75" x14ac:dyDescent="0.2">
      <c r="A43" t="s">
        <v>264</v>
      </c>
      <c r="B43" t="s">
        <v>1155</v>
      </c>
      <c r="C43"/>
      <c r="D43" s="170"/>
    </row>
    <row r="44" spans="1:4" ht="12.75" x14ac:dyDescent="0.2">
      <c r="A44" t="s">
        <v>265</v>
      </c>
      <c r="B44" t="s">
        <v>268</v>
      </c>
      <c r="C44"/>
      <c r="D44" s="170"/>
    </row>
    <row r="45" spans="1:4" ht="12.75" x14ac:dyDescent="0.2">
      <c r="A45" t="s">
        <v>269</v>
      </c>
      <c r="B45" t="s">
        <v>270</v>
      </c>
      <c r="C45"/>
      <c r="D45" s="170"/>
    </row>
    <row r="46" spans="1:4" ht="12.75" x14ac:dyDescent="0.2">
      <c r="A46" t="s">
        <v>271</v>
      </c>
      <c r="B46" t="s">
        <v>272</v>
      </c>
      <c r="C46"/>
      <c r="D46" s="170"/>
    </row>
    <row r="47" spans="1:4" ht="12.75" x14ac:dyDescent="0.2">
      <c r="A47" t="s">
        <v>273</v>
      </c>
      <c r="B47" t="s">
        <v>274</v>
      </c>
      <c r="C47" s="175">
        <v>8303106.8800000008</v>
      </c>
      <c r="D47" s="170"/>
    </row>
    <row r="48" spans="1:4" ht="12.75" x14ac:dyDescent="0.2">
      <c r="A48" t="s">
        <v>275</v>
      </c>
      <c r="B48" t="s">
        <v>276</v>
      </c>
      <c r="C48" s="175">
        <v>6452520.54</v>
      </c>
      <c r="D48" s="170"/>
    </row>
    <row r="49" spans="1:4" ht="12.75" x14ac:dyDescent="0.2">
      <c r="A49" t="s">
        <v>1156</v>
      </c>
      <c r="B49" t="s">
        <v>1157</v>
      </c>
      <c r="C49" s="175">
        <v>736100</v>
      </c>
      <c r="D49" s="170"/>
    </row>
    <row r="50" spans="1:4" ht="12.75" x14ac:dyDescent="0.2">
      <c r="A50" t="s">
        <v>277</v>
      </c>
      <c r="B50" t="s">
        <v>1158</v>
      </c>
      <c r="C50"/>
      <c r="D50" s="170"/>
    </row>
    <row r="51" spans="1:4" ht="12.75" x14ac:dyDescent="0.2">
      <c r="A51" t="s">
        <v>278</v>
      </c>
      <c r="B51" t="s">
        <v>1159</v>
      </c>
      <c r="C51" s="175">
        <v>4120708</v>
      </c>
      <c r="D51" s="170"/>
    </row>
    <row r="52" spans="1:4" ht="12.75" x14ac:dyDescent="0.2">
      <c r="A52" t="s">
        <v>279</v>
      </c>
      <c r="B52" t="s">
        <v>1160</v>
      </c>
      <c r="C52" s="175">
        <v>476380</v>
      </c>
      <c r="D52" s="170"/>
    </row>
    <row r="53" spans="1:4" ht="12.75" x14ac:dyDescent="0.2">
      <c r="A53" t="s">
        <v>280</v>
      </c>
      <c r="B53" t="s">
        <v>1161</v>
      </c>
      <c r="C53" s="175">
        <v>1087116.1299999999</v>
      </c>
      <c r="D53" s="170"/>
    </row>
    <row r="54" spans="1:4" ht="12.75" x14ac:dyDescent="0.2">
      <c r="A54" t="s">
        <v>281</v>
      </c>
      <c r="B54" t="s">
        <v>1162</v>
      </c>
      <c r="C54"/>
      <c r="D54" s="170"/>
    </row>
    <row r="55" spans="1:4" ht="12.75" x14ac:dyDescent="0.2">
      <c r="A55" t="s">
        <v>282</v>
      </c>
      <c r="B55" t="s">
        <v>1163</v>
      </c>
      <c r="C55"/>
      <c r="D55" s="170"/>
    </row>
    <row r="56" spans="1:4" ht="12.75" x14ac:dyDescent="0.2">
      <c r="A56" t="s">
        <v>1164</v>
      </c>
      <c r="B56" t="s">
        <v>1165</v>
      </c>
      <c r="C56" s="175">
        <v>410591.27</v>
      </c>
      <c r="D56" s="170"/>
    </row>
    <row r="57" spans="1:4" ht="12.75" x14ac:dyDescent="0.2">
      <c r="A57" t="s">
        <v>1166</v>
      </c>
      <c r="B57" t="s">
        <v>1167</v>
      </c>
      <c r="C57">
        <v>0</v>
      </c>
      <c r="D57" s="170"/>
    </row>
    <row r="58" spans="1:4" ht="12.75" x14ac:dyDescent="0.2">
      <c r="A58" t="s">
        <v>1168</v>
      </c>
      <c r="B58" t="s">
        <v>1169</v>
      </c>
      <c r="C58"/>
      <c r="D58" s="170"/>
    </row>
    <row r="59" spans="1:4" ht="12.75" x14ac:dyDescent="0.2">
      <c r="A59" t="s">
        <v>1170</v>
      </c>
      <c r="B59" t="s">
        <v>1171</v>
      </c>
      <c r="C59"/>
      <c r="D59" s="170"/>
    </row>
    <row r="60" spans="1:4" ht="12.75" x14ac:dyDescent="0.2">
      <c r="A60" t="s">
        <v>1172</v>
      </c>
      <c r="B60" t="s">
        <v>1173</v>
      </c>
      <c r="C60"/>
      <c r="D60" s="170"/>
    </row>
    <row r="61" spans="1:4" ht="12.75" x14ac:dyDescent="0.2">
      <c r="A61" t="s">
        <v>283</v>
      </c>
      <c r="B61" t="s">
        <v>1174</v>
      </c>
      <c r="C61" s="175">
        <v>354276.31</v>
      </c>
      <c r="D61" s="170"/>
    </row>
    <row r="62" spans="1:4" ht="12.75" x14ac:dyDescent="0.2">
      <c r="A62" t="s">
        <v>284</v>
      </c>
      <c r="B62" t="s">
        <v>285</v>
      </c>
      <c r="C62" s="175">
        <v>1307320</v>
      </c>
      <c r="D62" s="170"/>
    </row>
    <row r="63" spans="1:4" ht="12.75" x14ac:dyDescent="0.2">
      <c r="A63" t="s">
        <v>286</v>
      </c>
      <c r="B63" t="s">
        <v>287</v>
      </c>
      <c r="C63"/>
      <c r="D63" s="170"/>
    </row>
    <row r="64" spans="1:4" ht="12.75" x14ac:dyDescent="0.2">
      <c r="A64" t="s">
        <v>288</v>
      </c>
      <c r="B64" t="s">
        <v>289</v>
      </c>
      <c r="C64" s="175">
        <v>2531308</v>
      </c>
      <c r="D64" s="170"/>
    </row>
    <row r="65" spans="1:4" ht="12.75" x14ac:dyDescent="0.2">
      <c r="A65" t="s">
        <v>290</v>
      </c>
      <c r="B65" t="s">
        <v>291</v>
      </c>
      <c r="C65" s="175">
        <v>980000</v>
      </c>
      <c r="D65" s="170"/>
    </row>
    <row r="66" spans="1:4" ht="12.75" x14ac:dyDescent="0.2">
      <c r="A66" t="s">
        <v>1175</v>
      </c>
      <c r="B66" t="s">
        <v>1176</v>
      </c>
      <c r="C66" s="175">
        <v>230000</v>
      </c>
      <c r="D66" s="170"/>
    </row>
    <row r="67" spans="1:4" ht="12.75" x14ac:dyDescent="0.2">
      <c r="A67" t="s">
        <v>292</v>
      </c>
      <c r="B67" t="s">
        <v>1177</v>
      </c>
      <c r="C67"/>
      <c r="D67" s="170"/>
    </row>
    <row r="68" spans="1:4" ht="12.75" x14ac:dyDescent="0.2">
      <c r="A68" t="s">
        <v>293</v>
      </c>
      <c r="B68" t="s">
        <v>1178</v>
      </c>
      <c r="C68" s="175">
        <v>2700000</v>
      </c>
      <c r="D68" s="170"/>
    </row>
    <row r="69" spans="1:4" ht="12.75" x14ac:dyDescent="0.2">
      <c r="A69" t="s">
        <v>294</v>
      </c>
      <c r="B69" t="s">
        <v>1179</v>
      </c>
      <c r="C69" s="175">
        <v>650000</v>
      </c>
      <c r="D69" s="170"/>
    </row>
    <row r="70" spans="1:4" ht="12.75" x14ac:dyDescent="0.2">
      <c r="A70" t="s">
        <v>295</v>
      </c>
      <c r="B70" t="s">
        <v>1180</v>
      </c>
      <c r="C70" s="175">
        <v>700000</v>
      </c>
      <c r="D70" s="170"/>
    </row>
    <row r="71" spans="1:4" ht="12.75" x14ac:dyDescent="0.2">
      <c r="A71" t="s">
        <v>297</v>
      </c>
      <c r="B71" t="s">
        <v>1181</v>
      </c>
      <c r="C71"/>
      <c r="D71" s="170"/>
    </row>
    <row r="72" spans="1:4" ht="12.75" x14ac:dyDescent="0.2">
      <c r="A72" t="s">
        <v>298</v>
      </c>
      <c r="B72" t="s">
        <v>1182</v>
      </c>
      <c r="C72" s="175">
        <v>360000</v>
      </c>
      <c r="D72" s="170"/>
    </row>
    <row r="73" spans="1:4" ht="12.75" x14ac:dyDescent="0.2">
      <c r="A73" t="s">
        <v>1183</v>
      </c>
      <c r="B73" t="s">
        <v>1184</v>
      </c>
      <c r="C73"/>
      <c r="D73" s="170"/>
    </row>
    <row r="74" spans="1:4" ht="12.75" x14ac:dyDescent="0.2">
      <c r="A74" t="s">
        <v>1185</v>
      </c>
      <c r="B74" t="s">
        <v>1186</v>
      </c>
      <c r="C74"/>
      <c r="D74" s="170"/>
    </row>
    <row r="75" spans="1:4" ht="12.75" x14ac:dyDescent="0.2">
      <c r="A75" t="s">
        <v>299</v>
      </c>
      <c r="B75" t="s">
        <v>1187</v>
      </c>
      <c r="C75"/>
      <c r="D75" s="170"/>
    </row>
    <row r="76" spans="1:4" ht="12.75" x14ac:dyDescent="0.2">
      <c r="A76" t="s">
        <v>300</v>
      </c>
      <c r="B76" t="s">
        <v>1188</v>
      </c>
      <c r="C76"/>
      <c r="D76" s="170"/>
    </row>
    <row r="77" spans="1:4" ht="12.75" x14ac:dyDescent="0.2">
      <c r="A77" t="s">
        <v>1189</v>
      </c>
      <c r="B77" t="s">
        <v>1190</v>
      </c>
      <c r="C77"/>
      <c r="D77" s="170"/>
    </row>
    <row r="78" spans="1:4" ht="12.75" x14ac:dyDescent="0.2">
      <c r="A78" t="s">
        <v>301</v>
      </c>
      <c r="B78" t="s">
        <v>1191</v>
      </c>
      <c r="C78"/>
      <c r="D78" s="170"/>
    </row>
    <row r="79" spans="1:4" ht="12.75" x14ac:dyDescent="0.2">
      <c r="A79" t="s">
        <v>302</v>
      </c>
      <c r="B79" t="s">
        <v>1192</v>
      </c>
      <c r="C79"/>
      <c r="D79" s="170"/>
    </row>
    <row r="80" spans="1:4" ht="12.75" x14ac:dyDescent="0.2">
      <c r="A80" t="s">
        <v>303</v>
      </c>
      <c r="B80" t="s">
        <v>1193</v>
      </c>
      <c r="C80" s="175">
        <v>10000</v>
      </c>
      <c r="D80" s="170"/>
    </row>
    <row r="81" spans="1:4" ht="12.75" x14ac:dyDescent="0.2">
      <c r="A81" t="s">
        <v>304</v>
      </c>
      <c r="B81" t="s">
        <v>1194</v>
      </c>
      <c r="C81" s="175">
        <v>900000</v>
      </c>
      <c r="D81" s="170"/>
    </row>
    <row r="82" spans="1:4" ht="12.75" x14ac:dyDescent="0.2">
      <c r="A82" t="s">
        <v>1195</v>
      </c>
      <c r="B82" t="s">
        <v>1196</v>
      </c>
      <c r="C82"/>
      <c r="D82" s="170"/>
    </row>
    <row r="83" spans="1:4" ht="12.75" x14ac:dyDescent="0.2">
      <c r="A83" t="s">
        <v>1197</v>
      </c>
      <c r="B83" t="s">
        <v>1198</v>
      </c>
      <c r="C83"/>
      <c r="D83" s="170"/>
    </row>
    <row r="84" spans="1:4" ht="12.75" x14ac:dyDescent="0.2">
      <c r="A84" t="s">
        <v>305</v>
      </c>
      <c r="B84" t="s">
        <v>306</v>
      </c>
      <c r="C84"/>
      <c r="D84" s="170"/>
    </row>
    <row r="85" spans="1:4" ht="12.75" x14ac:dyDescent="0.2">
      <c r="A85" t="s">
        <v>307</v>
      </c>
      <c r="B85" t="s">
        <v>309</v>
      </c>
      <c r="C85" s="175">
        <v>19532623</v>
      </c>
      <c r="D85" s="170"/>
    </row>
    <row r="86" spans="1:4" ht="12.75" x14ac:dyDescent="0.2">
      <c r="A86" t="s">
        <v>310</v>
      </c>
      <c r="B86" t="s">
        <v>311</v>
      </c>
      <c r="C86" s="175">
        <v>140000</v>
      </c>
      <c r="D86" s="170"/>
    </row>
    <row r="87" spans="1:4" ht="12.75" x14ac:dyDescent="0.2">
      <c r="A87" t="s">
        <v>1199</v>
      </c>
      <c r="B87" t="s">
        <v>1200</v>
      </c>
      <c r="C87"/>
      <c r="D87" s="170"/>
    </row>
    <row r="88" spans="1:4" ht="12.75" x14ac:dyDescent="0.2">
      <c r="A88" t="s">
        <v>312</v>
      </c>
      <c r="B88" t="s">
        <v>1201</v>
      </c>
      <c r="C88"/>
      <c r="D88" s="170"/>
    </row>
    <row r="89" spans="1:4" ht="12.75" x14ac:dyDescent="0.2">
      <c r="A89" t="s">
        <v>313</v>
      </c>
      <c r="B89" t="s">
        <v>1202</v>
      </c>
      <c r="C89" s="175">
        <v>16000</v>
      </c>
      <c r="D89" s="170"/>
    </row>
    <row r="90" spans="1:4" ht="12.75" x14ac:dyDescent="0.2">
      <c r="A90" t="s">
        <v>314</v>
      </c>
      <c r="B90" t="s">
        <v>315</v>
      </c>
      <c r="C90" s="175">
        <v>8040042.8799999999</v>
      </c>
      <c r="D90" s="170"/>
    </row>
    <row r="91" spans="1:4" ht="12.75" x14ac:dyDescent="0.2">
      <c r="A91" t="s">
        <v>316</v>
      </c>
      <c r="B91" t="s">
        <v>317</v>
      </c>
      <c r="C91"/>
      <c r="D91" s="170"/>
    </row>
    <row r="92" spans="1:4" ht="12.75" x14ac:dyDescent="0.2">
      <c r="A92" t="s">
        <v>318</v>
      </c>
      <c r="B92" t="s">
        <v>319</v>
      </c>
      <c r="C92" s="175">
        <v>250000</v>
      </c>
      <c r="D92" s="170"/>
    </row>
    <row r="93" spans="1:4" ht="12.75" x14ac:dyDescent="0.2">
      <c r="A93" t="s">
        <v>320</v>
      </c>
      <c r="B93" t="s">
        <v>321</v>
      </c>
      <c r="C93" s="175">
        <v>5500000</v>
      </c>
      <c r="D93" s="170"/>
    </row>
    <row r="94" spans="1:4" ht="12.75" x14ac:dyDescent="0.2">
      <c r="A94" t="s">
        <v>322</v>
      </c>
      <c r="B94" t="s">
        <v>323</v>
      </c>
      <c r="C94" s="175">
        <v>14000</v>
      </c>
      <c r="D94" s="170"/>
    </row>
    <row r="95" spans="1:4" ht="12.75" x14ac:dyDescent="0.2">
      <c r="A95" t="s">
        <v>324</v>
      </c>
      <c r="B95" t="s">
        <v>325</v>
      </c>
      <c r="C95"/>
      <c r="D95" s="170"/>
    </row>
    <row r="96" spans="1:4" ht="12.75" x14ac:dyDescent="0.2">
      <c r="A96" t="s">
        <v>326</v>
      </c>
      <c r="B96" t="s">
        <v>327</v>
      </c>
      <c r="C96" s="175">
        <v>2700</v>
      </c>
      <c r="D96" s="170"/>
    </row>
    <row r="97" spans="1:4" ht="12.75" x14ac:dyDescent="0.2">
      <c r="A97" t="s">
        <v>328</v>
      </c>
      <c r="B97" t="s">
        <v>329</v>
      </c>
      <c r="C97"/>
      <c r="D97" s="170"/>
    </row>
    <row r="98" spans="1:4" ht="12.75" x14ac:dyDescent="0.2">
      <c r="A98" t="s">
        <v>330</v>
      </c>
      <c r="B98" t="s">
        <v>331</v>
      </c>
      <c r="C98"/>
      <c r="D98" s="170"/>
    </row>
    <row r="99" spans="1:4" ht="12.75" x14ac:dyDescent="0.2">
      <c r="A99" t="s">
        <v>332</v>
      </c>
      <c r="B99" t="s">
        <v>333</v>
      </c>
      <c r="C99"/>
      <c r="D99" s="170"/>
    </row>
    <row r="100" spans="1:4" ht="12.75" x14ac:dyDescent="0.2">
      <c r="A100" t="s">
        <v>334</v>
      </c>
      <c r="B100" t="s">
        <v>335</v>
      </c>
      <c r="C100" s="175">
        <v>140000</v>
      </c>
      <c r="D100" s="170"/>
    </row>
    <row r="101" spans="1:4" ht="12.75" x14ac:dyDescent="0.2">
      <c r="A101" t="s">
        <v>336</v>
      </c>
      <c r="B101" t="s">
        <v>337</v>
      </c>
      <c r="C101"/>
      <c r="D101" s="170"/>
    </row>
    <row r="102" spans="1:4" ht="12.75" x14ac:dyDescent="0.2">
      <c r="A102" t="s">
        <v>338</v>
      </c>
      <c r="B102" t="s">
        <v>339</v>
      </c>
      <c r="C102"/>
      <c r="D102" s="170"/>
    </row>
    <row r="103" spans="1:4" ht="12.75" x14ac:dyDescent="0.2">
      <c r="A103" t="s">
        <v>340</v>
      </c>
      <c r="B103" t="s">
        <v>341</v>
      </c>
      <c r="C103" s="175">
        <v>20000</v>
      </c>
      <c r="D103" s="170"/>
    </row>
    <row r="104" spans="1:4" ht="12.75" x14ac:dyDescent="0.2">
      <c r="A104" t="s">
        <v>342</v>
      </c>
      <c r="B104" t="s">
        <v>343</v>
      </c>
      <c r="C104"/>
      <c r="D104" s="170"/>
    </row>
    <row r="105" spans="1:4" ht="12.75" x14ac:dyDescent="0.2">
      <c r="A105" t="s">
        <v>344</v>
      </c>
      <c r="B105" t="s">
        <v>345</v>
      </c>
      <c r="C105" s="175">
        <v>1360320</v>
      </c>
      <c r="D105" s="170"/>
    </row>
    <row r="106" spans="1:4" ht="12.75" x14ac:dyDescent="0.2">
      <c r="A106" t="s">
        <v>346</v>
      </c>
      <c r="B106" t="s">
        <v>347</v>
      </c>
      <c r="C106">
        <v>0</v>
      </c>
      <c r="D106" s="170"/>
    </row>
    <row r="107" spans="1:4" ht="12.75" x14ac:dyDescent="0.2">
      <c r="A107" t="s">
        <v>348</v>
      </c>
      <c r="B107" t="s">
        <v>349</v>
      </c>
      <c r="C107" s="175">
        <v>4518059.5199999996</v>
      </c>
      <c r="D107" s="170"/>
    </row>
    <row r="108" spans="1:4" ht="12.75" x14ac:dyDescent="0.2">
      <c r="A108" t="s">
        <v>1203</v>
      </c>
      <c r="B108" t="s">
        <v>1204</v>
      </c>
      <c r="C108"/>
      <c r="D108" s="170"/>
    </row>
    <row r="109" spans="1:4" ht="12.75" x14ac:dyDescent="0.2">
      <c r="A109" t="s">
        <v>350</v>
      </c>
      <c r="B109" t="s">
        <v>351</v>
      </c>
      <c r="C109"/>
      <c r="D109" s="170"/>
    </row>
    <row r="110" spans="1:4" ht="12.75" x14ac:dyDescent="0.2">
      <c r="A110" t="s">
        <v>352</v>
      </c>
      <c r="B110" t="s">
        <v>353</v>
      </c>
      <c r="C110" s="175">
        <v>9094198.9672232457</v>
      </c>
      <c r="D110" s="170"/>
    </row>
    <row r="111" spans="1:4" ht="12.75" x14ac:dyDescent="0.2">
      <c r="A111" t="s">
        <v>354</v>
      </c>
      <c r="B111" t="s">
        <v>355</v>
      </c>
      <c r="C111" s="175">
        <v>315000</v>
      </c>
      <c r="D111" s="170"/>
    </row>
    <row r="112" spans="1:4" s="23" customFormat="1" ht="12.75" x14ac:dyDescent="0.2">
      <c r="A112" t="s">
        <v>356</v>
      </c>
      <c r="B112" t="s">
        <v>357</v>
      </c>
      <c r="C112" s="175">
        <v>1937259.84</v>
      </c>
      <c r="D112" s="170"/>
    </row>
    <row r="113" spans="1:4" ht="12.75" x14ac:dyDescent="0.2">
      <c r="A113" t="s">
        <v>358</v>
      </c>
      <c r="B113" t="s">
        <v>359</v>
      </c>
      <c r="C113"/>
      <c r="D113" s="170"/>
    </row>
    <row r="114" spans="1:4" ht="12.75" x14ac:dyDescent="0.2">
      <c r="A114" t="s">
        <v>360</v>
      </c>
      <c r="B114" t="s">
        <v>361</v>
      </c>
      <c r="C114"/>
      <c r="D114" s="170"/>
    </row>
    <row r="115" spans="1:4" ht="12.75" x14ac:dyDescent="0.2">
      <c r="A115" t="s">
        <v>362</v>
      </c>
      <c r="B115" t="s">
        <v>363</v>
      </c>
      <c r="C115"/>
      <c r="D115" s="170"/>
    </row>
    <row r="116" spans="1:4" ht="12.75" x14ac:dyDescent="0.2">
      <c r="A116" t="s">
        <v>364</v>
      </c>
      <c r="B116" t="s">
        <v>365</v>
      </c>
      <c r="C116">
        <v>0</v>
      </c>
      <c r="D116" s="170"/>
    </row>
    <row r="117" spans="1:4" s="11" customFormat="1" ht="12.75" x14ac:dyDescent="0.2">
      <c r="A117" t="s">
        <v>366</v>
      </c>
      <c r="B117" t="s">
        <v>580</v>
      </c>
      <c r="C117"/>
      <c r="D117" s="170"/>
    </row>
    <row r="118" spans="1:4" ht="12.75" x14ac:dyDescent="0.2">
      <c r="A118" t="s">
        <v>1205</v>
      </c>
      <c r="B118" t="s">
        <v>1206</v>
      </c>
      <c r="C118"/>
      <c r="D118" s="170"/>
    </row>
    <row r="119" spans="1:4" ht="12.75" x14ac:dyDescent="0.2">
      <c r="A119" t="s">
        <v>367</v>
      </c>
      <c r="B119" t="s">
        <v>1207</v>
      </c>
      <c r="C119" s="175">
        <v>1375211.18</v>
      </c>
      <c r="D119" s="170"/>
    </row>
    <row r="120" spans="1:4" ht="12.75" x14ac:dyDescent="0.2">
      <c r="A120" t="s">
        <v>368</v>
      </c>
      <c r="B120" t="s">
        <v>369</v>
      </c>
      <c r="C120"/>
      <c r="D120" s="170"/>
    </row>
    <row r="121" spans="1:4" ht="12.75" x14ac:dyDescent="0.2">
      <c r="A121" t="s">
        <v>370</v>
      </c>
      <c r="B121" t="s">
        <v>371</v>
      </c>
      <c r="C121" s="175">
        <v>19000000</v>
      </c>
      <c r="D121" s="170"/>
    </row>
    <row r="122" spans="1:4" ht="12.75" x14ac:dyDescent="0.2">
      <c r="A122" t="s">
        <v>372</v>
      </c>
      <c r="B122" t="s">
        <v>373</v>
      </c>
      <c r="C122" s="175">
        <v>350000</v>
      </c>
      <c r="D122" s="170"/>
    </row>
    <row r="123" spans="1:4" ht="12.75" x14ac:dyDescent="0.2">
      <c r="A123" t="s">
        <v>374</v>
      </c>
      <c r="B123" t="s">
        <v>375</v>
      </c>
      <c r="C123"/>
      <c r="D123" s="170"/>
    </row>
    <row r="124" spans="1:4" ht="12.75" x14ac:dyDescent="0.2">
      <c r="A124" t="s">
        <v>376</v>
      </c>
      <c r="B124" t="s">
        <v>377</v>
      </c>
      <c r="C124"/>
      <c r="D124" s="170"/>
    </row>
    <row r="125" spans="1:4" ht="12.75" x14ac:dyDescent="0.2">
      <c r="A125" t="s">
        <v>378</v>
      </c>
      <c r="B125" t="s">
        <v>379</v>
      </c>
      <c r="C125" s="175">
        <v>5700000</v>
      </c>
      <c r="D125" s="170"/>
    </row>
    <row r="126" spans="1:4" ht="12.75" x14ac:dyDescent="0.2">
      <c r="A126" t="s">
        <v>380</v>
      </c>
      <c r="B126" t="s">
        <v>381</v>
      </c>
      <c r="C126" s="175">
        <v>600000</v>
      </c>
      <c r="D126" s="170"/>
    </row>
    <row r="127" spans="1:4" ht="12.75" x14ac:dyDescent="0.2">
      <c r="A127" t="s">
        <v>382</v>
      </c>
      <c r="B127" t="s">
        <v>383</v>
      </c>
      <c r="C127" s="175">
        <v>1700000</v>
      </c>
      <c r="D127" s="170"/>
    </row>
    <row r="128" spans="1:4" ht="12.75" x14ac:dyDescent="0.2">
      <c r="A128" t="s">
        <v>384</v>
      </c>
      <c r="B128" t="s">
        <v>385</v>
      </c>
      <c r="C128" s="175">
        <v>1700000</v>
      </c>
      <c r="D128" s="170"/>
    </row>
    <row r="129" spans="1:4" ht="12.75" x14ac:dyDescent="0.2">
      <c r="A129" t="s">
        <v>386</v>
      </c>
      <c r="B129" t="s">
        <v>387</v>
      </c>
      <c r="C129" s="175">
        <v>400000</v>
      </c>
      <c r="D129" s="170"/>
    </row>
    <row r="130" spans="1:4" ht="12.75" x14ac:dyDescent="0.2">
      <c r="A130" t="s">
        <v>388</v>
      </c>
      <c r="B130" t="s">
        <v>389</v>
      </c>
      <c r="C130" s="175">
        <v>3400000</v>
      </c>
      <c r="D130" s="170"/>
    </row>
    <row r="131" spans="1:4" ht="12.75" x14ac:dyDescent="0.2">
      <c r="A131" t="s">
        <v>390</v>
      </c>
      <c r="B131" t="s">
        <v>391</v>
      </c>
      <c r="C131"/>
      <c r="D131" s="170"/>
    </row>
    <row r="132" spans="1:4" ht="12.75" x14ac:dyDescent="0.2">
      <c r="A132" t="s">
        <v>392</v>
      </c>
      <c r="B132" t="s">
        <v>393</v>
      </c>
      <c r="C132"/>
      <c r="D132" s="170"/>
    </row>
    <row r="133" spans="1:4" ht="12.75" x14ac:dyDescent="0.2">
      <c r="A133" t="s">
        <v>394</v>
      </c>
      <c r="B133" t="s">
        <v>395</v>
      </c>
      <c r="C133" s="175">
        <v>58299</v>
      </c>
      <c r="D133" s="170"/>
    </row>
    <row r="134" spans="1:4" ht="12.75" x14ac:dyDescent="0.2">
      <c r="A134" t="s">
        <v>396</v>
      </c>
      <c r="B134" t="s">
        <v>397</v>
      </c>
      <c r="C134" s="175">
        <v>1503731</v>
      </c>
      <c r="D134" s="170"/>
    </row>
    <row r="135" spans="1:4" ht="12.75" x14ac:dyDescent="0.2">
      <c r="A135" t="s">
        <v>398</v>
      </c>
      <c r="B135" t="s">
        <v>399</v>
      </c>
      <c r="C135" s="175">
        <v>1872964.83</v>
      </c>
      <c r="D135" s="170"/>
    </row>
    <row r="136" spans="1:4" ht="12.75" x14ac:dyDescent="0.2">
      <c r="A136" t="s">
        <v>400</v>
      </c>
      <c r="B136" t="s">
        <v>1051</v>
      </c>
      <c r="C136"/>
      <c r="D136" s="170"/>
    </row>
    <row r="137" spans="1:4" ht="12.75" x14ac:dyDescent="0.2">
      <c r="A137" t="s">
        <v>1360</v>
      </c>
      <c r="B137" t="s">
        <v>1052</v>
      </c>
      <c r="C137"/>
      <c r="D137" s="170"/>
    </row>
    <row r="138" spans="1:4" ht="12.75" x14ac:dyDescent="0.2">
      <c r="A138" t="s">
        <v>401</v>
      </c>
      <c r="B138" t="s">
        <v>1053</v>
      </c>
      <c r="C138"/>
      <c r="D138" s="170"/>
    </row>
    <row r="139" spans="1:4" ht="12.75" x14ac:dyDescent="0.2">
      <c r="A139" t="s">
        <v>402</v>
      </c>
      <c r="B139" t="s">
        <v>1054</v>
      </c>
      <c r="C139"/>
      <c r="D139" s="170"/>
    </row>
    <row r="140" spans="1:4" ht="12.75" x14ac:dyDescent="0.2">
      <c r="A140" t="s">
        <v>403</v>
      </c>
      <c r="B140" t="s">
        <v>1055</v>
      </c>
      <c r="C140"/>
      <c r="D140" s="170"/>
    </row>
    <row r="141" spans="1:4" s="11" customFormat="1" ht="12.75" x14ac:dyDescent="0.2">
      <c r="A141" t="s">
        <v>404</v>
      </c>
      <c r="B141" t="s">
        <v>405</v>
      </c>
      <c r="C141" s="175">
        <v>-1286363.636363636</v>
      </c>
      <c r="D141" s="170"/>
    </row>
    <row r="142" spans="1:4" ht="12.75" x14ac:dyDescent="0.2">
      <c r="A142" t="s">
        <v>406</v>
      </c>
      <c r="B142" t="s">
        <v>407</v>
      </c>
      <c r="C142" s="175">
        <v>-45000</v>
      </c>
      <c r="D142" s="170"/>
    </row>
    <row r="143" spans="1:4" ht="12.75" x14ac:dyDescent="0.2">
      <c r="A143" t="s">
        <v>1208</v>
      </c>
      <c r="B143" t="s">
        <v>1209</v>
      </c>
      <c r="C143" s="175">
        <v>-323000</v>
      </c>
      <c r="D143" s="170"/>
    </row>
    <row r="144" spans="1:4" ht="12.75" x14ac:dyDescent="0.2">
      <c r="A144" t="s">
        <v>408</v>
      </c>
      <c r="B144" t="s">
        <v>1210</v>
      </c>
      <c r="C144"/>
      <c r="D144" s="170"/>
    </row>
    <row r="145" spans="1:4" ht="12.75" x14ac:dyDescent="0.2">
      <c r="A145" t="s">
        <v>1211</v>
      </c>
      <c r="B145" t="s">
        <v>1212</v>
      </c>
      <c r="C145"/>
      <c r="D145" s="170"/>
    </row>
    <row r="146" spans="1:4" ht="12.75" x14ac:dyDescent="0.2">
      <c r="A146" t="s">
        <v>1213</v>
      </c>
      <c r="B146" t="s">
        <v>1214</v>
      </c>
      <c r="C146"/>
      <c r="D146" s="170"/>
    </row>
    <row r="147" spans="1:4" ht="12.75" x14ac:dyDescent="0.2">
      <c r="A147" t="s">
        <v>1215</v>
      </c>
      <c r="B147" t="s">
        <v>1216</v>
      </c>
      <c r="C147"/>
      <c r="D147" s="170"/>
    </row>
    <row r="148" spans="1:4" ht="12.75" x14ac:dyDescent="0.2">
      <c r="A148" t="s">
        <v>409</v>
      </c>
      <c r="B148" t="s">
        <v>410</v>
      </c>
      <c r="C148"/>
      <c r="D148" s="170"/>
    </row>
    <row r="149" spans="1:4" ht="12.75" x14ac:dyDescent="0.2">
      <c r="A149" t="s">
        <v>411</v>
      </c>
      <c r="B149" t="s">
        <v>412</v>
      </c>
      <c r="C149" s="175">
        <v>-1830000</v>
      </c>
      <c r="D149" s="170"/>
    </row>
    <row r="150" spans="1:4" ht="12.75" x14ac:dyDescent="0.2">
      <c r="A150" t="s">
        <v>413</v>
      </c>
      <c r="B150" t="s">
        <v>414</v>
      </c>
      <c r="C150"/>
      <c r="D150" s="170"/>
    </row>
    <row r="151" spans="1:4" ht="12.75" x14ac:dyDescent="0.2">
      <c r="A151" t="s">
        <v>415</v>
      </c>
      <c r="B151" t="s">
        <v>416</v>
      </c>
      <c r="C151"/>
      <c r="D151" s="170"/>
    </row>
    <row r="152" spans="1:4" ht="12.75" x14ac:dyDescent="0.2">
      <c r="A152" t="s">
        <v>417</v>
      </c>
      <c r="B152" t="s">
        <v>418</v>
      </c>
      <c r="C152"/>
      <c r="D152" s="170"/>
    </row>
    <row r="153" spans="1:4" ht="12.75" x14ac:dyDescent="0.2">
      <c r="A153" t="s">
        <v>419</v>
      </c>
      <c r="B153" t="s">
        <v>420</v>
      </c>
      <c r="C153" s="175">
        <v>-3899914</v>
      </c>
      <c r="D153" s="170"/>
    </row>
    <row r="154" spans="1:4" ht="12.75" x14ac:dyDescent="0.2">
      <c r="A154" t="s">
        <v>421</v>
      </c>
      <c r="B154" t="s">
        <v>422</v>
      </c>
      <c r="C154" s="175">
        <v>-1440767.71</v>
      </c>
      <c r="D154" s="170"/>
    </row>
    <row r="155" spans="1:4" ht="12.75" x14ac:dyDescent="0.2">
      <c r="A155" t="s">
        <v>423</v>
      </c>
      <c r="B155" t="s">
        <v>424</v>
      </c>
      <c r="C155" s="175">
        <v>-5500000</v>
      </c>
      <c r="D155" s="170"/>
    </row>
    <row r="156" spans="1:4" ht="12.75" x14ac:dyDescent="0.2">
      <c r="A156" t="s">
        <v>425</v>
      </c>
      <c r="B156" t="s">
        <v>426</v>
      </c>
      <c r="C156">
        <v>-775</v>
      </c>
      <c r="D156" s="170"/>
    </row>
    <row r="157" spans="1:4" ht="12.75" x14ac:dyDescent="0.2">
      <c r="A157" t="s">
        <v>427</v>
      </c>
      <c r="B157" t="s">
        <v>428</v>
      </c>
      <c r="C157" s="175">
        <v>-2727272.7272727299</v>
      </c>
      <c r="D157" s="170"/>
    </row>
    <row r="158" spans="1:4" ht="12.75" x14ac:dyDescent="0.2">
      <c r="A158" t="s">
        <v>429</v>
      </c>
      <c r="B158" t="s">
        <v>430</v>
      </c>
      <c r="C158"/>
      <c r="D158" s="170"/>
    </row>
    <row r="159" spans="1:4" ht="12.75" x14ac:dyDescent="0.2">
      <c r="A159" t="s">
        <v>431</v>
      </c>
      <c r="B159" t="s">
        <v>432</v>
      </c>
      <c r="C159" s="175">
        <v>-64500</v>
      </c>
      <c r="D159" s="170"/>
    </row>
    <row r="160" spans="1:4" ht="12.75" x14ac:dyDescent="0.2">
      <c r="A160" t="s">
        <v>433</v>
      </c>
      <c r="B160" t="s">
        <v>434</v>
      </c>
      <c r="C160" s="175">
        <v>-2283947</v>
      </c>
      <c r="D160" s="170"/>
    </row>
    <row r="161" spans="1:4" ht="12.75" x14ac:dyDescent="0.2">
      <c r="A161" t="s">
        <v>435</v>
      </c>
      <c r="B161" t="s">
        <v>436</v>
      </c>
      <c r="C161"/>
      <c r="D161" s="170"/>
    </row>
    <row r="162" spans="1:4" ht="12.75" x14ac:dyDescent="0.2">
      <c r="A162" t="s">
        <v>1217</v>
      </c>
      <c r="B162" t="s">
        <v>1218</v>
      </c>
      <c r="C162" s="175">
        <v>-123443908.90999998</v>
      </c>
      <c r="D162" s="170"/>
    </row>
    <row r="163" spans="1:4" ht="12.75" x14ac:dyDescent="0.2">
      <c r="A163" t="s">
        <v>1219</v>
      </c>
      <c r="B163" t="s">
        <v>1220</v>
      </c>
      <c r="C163" s="175">
        <v>-17333397.750000004</v>
      </c>
      <c r="D163" s="170"/>
    </row>
    <row r="164" spans="1:4" ht="12.75" x14ac:dyDescent="0.2">
      <c r="A164" t="s">
        <v>1221</v>
      </c>
      <c r="B164" t="s">
        <v>1222</v>
      </c>
      <c r="C164" s="175">
        <v>-470966.25</v>
      </c>
      <c r="D164" s="170"/>
    </row>
    <row r="165" spans="1:4" ht="12.75" x14ac:dyDescent="0.2">
      <c r="A165" t="s">
        <v>1223</v>
      </c>
      <c r="B165" t="s">
        <v>1224</v>
      </c>
      <c r="C165" s="175">
        <v>-5938119.9199999999</v>
      </c>
      <c r="D165" s="170"/>
    </row>
    <row r="166" spans="1:4" ht="12.75" x14ac:dyDescent="0.2">
      <c r="A166" t="s">
        <v>1225</v>
      </c>
      <c r="B166" t="s">
        <v>1226</v>
      </c>
      <c r="C166" s="175">
        <v>-25029.65</v>
      </c>
      <c r="D166" s="170"/>
    </row>
    <row r="167" spans="1:4" ht="12.75" x14ac:dyDescent="0.2">
      <c r="A167" t="s">
        <v>1227</v>
      </c>
      <c r="B167" t="s">
        <v>1228</v>
      </c>
      <c r="C167" s="175">
        <v>-8350.7099999999991</v>
      </c>
      <c r="D167" s="170"/>
    </row>
    <row r="168" spans="1:4" ht="12.75" x14ac:dyDescent="0.2">
      <c r="A168" t="s">
        <v>1229</v>
      </c>
      <c r="B168" t="s">
        <v>1230</v>
      </c>
      <c r="C168" s="175">
        <v>-181303.11</v>
      </c>
      <c r="D168" s="170"/>
    </row>
    <row r="169" spans="1:4" ht="12.75" x14ac:dyDescent="0.2">
      <c r="A169" t="s">
        <v>437</v>
      </c>
      <c r="B169" t="s">
        <v>1056</v>
      </c>
      <c r="C169"/>
      <c r="D169" s="170"/>
    </row>
    <row r="170" spans="1:4" ht="12.75" x14ac:dyDescent="0.2">
      <c r="A170" t="s">
        <v>438</v>
      </c>
      <c r="B170" t="s">
        <v>1057</v>
      </c>
      <c r="C170" s="175">
        <v>-60000</v>
      </c>
      <c r="D170" s="170"/>
    </row>
    <row r="171" spans="1:4" ht="12.75" x14ac:dyDescent="0.2">
      <c r="A171" t="s">
        <v>439</v>
      </c>
      <c r="B171" t="s">
        <v>1058</v>
      </c>
      <c r="C171" s="175">
        <v>-200000</v>
      </c>
      <c r="D171" s="170"/>
    </row>
    <row r="172" spans="1:4" ht="12.75" x14ac:dyDescent="0.2">
      <c r="A172" t="s">
        <v>440</v>
      </c>
      <c r="B172" t="s">
        <v>1059</v>
      </c>
      <c r="C172" s="175">
        <v>-850000</v>
      </c>
      <c r="D172" s="170"/>
    </row>
    <row r="173" spans="1:4" ht="12.75" x14ac:dyDescent="0.2">
      <c r="A173" t="s">
        <v>441</v>
      </c>
      <c r="B173" t="s">
        <v>1060</v>
      </c>
      <c r="C173" s="175">
        <v>-800000</v>
      </c>
      <c r="D173" s="170"/>
    </row>
    <row r="174" spans="1:4" ht="12.75" x14ac:dyDescent="0.2">
      <c r="A174" t="s">
        <v>442</v>
      </c>
      <c r="B174" t="s">
        <v>1061</v>
      </c>
      <c r="C174" s="175">
        <v>-350000</v>
      </c>
      <c r="D174" s="170"/>
    </row>
    <row r="175" spans="1:4" ht="12.75" x14ac:dyDescent="0.2">
      <c r="A175" t="s">
        <v>443</v>
      </c>
      <c r="B175" t="s">
        <v>444</v>
      </c>
      <c r="C175" s="175">
        <v>-400000</v>
      </c>
      <c r="D175" s="170"/>
    </row>
    <row r="176" spans="1:4" ht="12.75" x14ac:dyDescent="0.2">
      <c r="A176" t="s">
        <v>445</v>
      </c>
      <c r="B176" t="s">
        <v>446</v>
      </c>
      <c r="C176">
        <v>0</v>
      </c>
      <c r="D176" s="170"/>
    </row>
    <row r="177" spans="1:4" ht="12.75" x14ac:dyDescent="0.2">
      <c r="A177" t="s">
        <v>447</v>
      </c>
      <c r="B177" t="s">
        <v>1062</v>
      </c>
      <c r="C177"/>
      <c r="D177" s="170"/>
    </row>
    <row r="178" spans="1:4" ht="12.75" x14ac:dyDescent="0.2">
      <c r="A178" t="s">
        <v>448</v>
      </c>
      <c r="B178" t="s">
        <v>1063</v>
      </c>
      <c r="C178"/>
      <c r="D178" s="170"/>
    </row>
    <row r="179" spans="1:4" ht="12.75" x14ac:dyDescent="0.2">
      <c r="A179" t="s">
        <v>449</v>
      </c>
      <c r="B179" t="s">
        <v>1064</v>
      </c>
      <c r="C179"/>
      <c r="D179" s="170"/>
    </row>
    <row r="180" spans="1:4" ht="12.75" x14ac:dyDescent="0.2">
      <c r="A180" t="s">
        <v>450</v>
      </c>
      <c r="B180" t="s">
        <v>1065</v>
      </c>
      <c r="C180"/>
      <c r="D180" s="170"/>
    </row>
    <row r="181" spans="1:4" ht="12.75" x14ac:dyDescent="0.2">
      <c r="A181" t="s">
        <v>451</v>
      </c>
      <c r="B181" t="s">
        <v>452</v>
      </c>
      <c r="C181" s="175">
        <v>-68103999.99999997</v>
      </c>
      <c r="D181" s="170"/>
    </row>
    <row r="182" spans="1:4" ht="12.75" x14ac:dyDescent="0.2">
      <c r="A182" t="s">
        <v>453</v>
      </c>
      <c r="B182" t="s">
        <v>454</v>
      </c>
      <c r="C182" s="175">
        <v>-13048000</v>
      </c>
      <c r="D182" s="170"/>
    </row>
    <row r="183" spans="1:4" ht="12.75" x14ac:dyDescent="0.2">
      <c r="A183" t="s">
        <v>455</v>
      </c>
      <c r="B183" t="s">
        <v>456</v>
      </c>
      <c r="C183" s="175">
        <v>-8800000</v>
      </c>
      <c r="D183" s="170"/>
    </row>
    <row r="184" spans="1:4" ht="12.75" x14ac:dyDescent="0.2">
      <c r="A184" t="s">
        <v>457</v>
      </c>
      <c r="B184" t="s">
        <v>1066</v>
      </c>
      <c r="C184" s="175">
        <v>-3607900</v>
      </c>
      <c r="D184" s="170"/>
    </row>
    <row r="185" spans="1:4" ht="12.75" x14ac:dyDescent="0.2">
      <c r="A185" t="s">
        <v>458</v>
      </c>
      <c r="B185" t="s">
        <v>459</v>
      </c>
      <c r="C185" s="175">
        <v>-399358.02</v>
      </c>
      <c r="D185" s="170"/>
    </row>
    <row r="186" spans="1:4" ht="12.75" x14ac:dyDescent="0.2">
      <c r="A186" t="s">
        <v>460</v>
      </c>
      <c r="B186" t="s">
        <v>461</v>
      </c>
      <c r="C186" s="175">
        <v>-141325</v>
      </c>
      <c r="D186" s="170"/>
    </row>
    <row r="187" spans="1:4" ht="12.75" x14ac:dyDescent="0.2">
      <c r="A187" t="s">
        <v>462</v>
      </c>
      <c r="B187" t="s">
        <v>1067</v>
      </c>
      <c r="C187"/>
      <c r="D187" s="170"/>
    </row>
    <row r="188" spans="1:4" ht="12.75" x14ac:dyDescent="0.2">
      <c r="A188" t="s">
        <v>463</v>
      </c>
      <c r="B188" t="s">
        <v>1068</v>
      </c>
      <c r="C188" s="175">
        <v>-76977541.000000015</v>
      </c>
      <c r="D188" s="170"/>
    </row>
    <row r="189" spans="1:4" ht="12.75" x14ac:dyDescent="0.2">
      <c r="A189" t="s">
        <v>464</v>
      </c>
      <c r="B189" t="s">
        <v>465</v>
      </c>
      <c r="C189" s="175">
        <v>-1182649.9099999999</v>
      </c>
      <c r="D189" s="170"/>
    </row>
    <row r="190" spans="1:4" ht="12.75" x14ac:dyDescent="0.2">
      <c r="A190" t="s">
        <v>466</v>
      </c>
      <c r="B190" t="s">
        <v>467</v>
      </c>
      <c r="C190" s="175">
        <v>-374009</v>
      </c>
      <c r="D190" s="170"/>
    </row>
    <row r="191" spans="1:4" ht="12.75" x14ac:dyDescent="0.2">
      <c r="A191" t="s">
        <v>468</v>
      </c>
      <c r="B191" t="s">
        <v>1069</v>
      </c>
      <c r="C191"/>
      <c r="D191" s="170"/>
    </row>
    <row r="192" spans="1:4" ht="12.75" x14ac:dyDescent="0.2">
      <c r="A192" t="s">
        <v>469</v>
      </c>
      <c r="B192" t="s">
        <v>470</v>
      </c>
      <c r="C192" s="175">
        <v>-62785363.769999996</v>
      </c>
      <c r="D192" s="170"/>
    </row>
    <row r="193" spans="1:4" ht="12.75" x14ac:dyDescent="0.2">
      <c r="A193" t="s">
        <v>1231</v>
      </c>
      <c r="B193" t="s">
        <v>1232</v>
      </c>
      <c r="C193" s="175">
        <v>-5724482.4800000004</v>
      </c>
      <c r="D193" s="170"/>
    </row>
    <row r="194" spans="1:4" ht="12.75" x14ac:dyDescent="0.2">
      <c r="A194" t="s">
        <v>471</v>
      </c>
      <c r="B194" t="s">
        <v>1233</v>
      </c>
      <c r="C194" s="175">
        <v>-12433686</v>
      </c>
      <c r="D194" s="170"/>
    </row>
    <row r="195" spans="1:4" ht="12.75" x14ac:dyDescent="0.2">
      <c r="A195" t="s">
        <v>1234</v>
      </c>
      <c r="B195" t="s">
        <v>1235</v>
      </c>
      <c r="C195" s="175">
        <v>-2037290</v>
      </c>
      <c r="D195" s="170"/>
    </row>
    <row r="196" spans="1:4" ht="12.75" x14ac:dyDescent="0.2">
      <c r="A196" t="s">
        <v>472</v>
      </c>
      <c r="B196" t="s">
        <v>1236</v>
      </c>
      <c r="C196" s="175">
        <v>-6115147</v>
      </c>
      <c r="D196" s="170"/>
    </row>
    <row r="197" spans="1:4" ht="12.75" x14ac:dyDescent="0.2">
      <c r="A197" t="s">
        <v>1237</v>
      </c>
      <c r="B197" t="s">
        <v>1238</v>
      </c>
      <c r="C197"/>
      <c r="D197" s="170"/>
    </row>
    <row r="198" spans="1:4" ht="12.75" x14ac:dyDescent="0.2">
      <c r="A198" t="s">
        <v>473</v>
      </c>
      <c r="B198" t="s">
        <v>1239</v>
      </c>
      <c r="C198" s="175">
        <v>-15954653.000000002</v>
      </c>
      <c r="D198" s="170"/>
    </row>
    <row r="199" spans="1:4" ht="12.75" x14ac:dyDescent="0.2">
      <c r="A199" t="s">
        <v>474</v>
      </c>
      <c r="B199" t="s">
        <v>1240</v>
      </c>
      <c r="C199"/>
      <c r="D199" s="170"/>
    </row>
    <row r="200" spans="1:4" ht="12.75" x14ac:dyDescent="0.2">
      <c r="A200" t="s">
        <v>475</v>
      </c>
      <c r="B200" t="s">
        <v>1241</v>
      </c>
      <c r="C200"/>
      <c r="D200" s="170"/>
    </row>
    <row r="201" spans="1:4" ht="12.75" x14ac:dyDescent="0.2">
      <c r="A201" t="s">
        <v>1242</v>
      </c>
      <c r="B201" t="s">
        <v>1243</v>
      </c>
      <c r="C201"/>
      <c r="D201" s="170"/>
    </row>
    <row r="202" spans="1:4" ht="12.75" x14ac:dyDescent="0.2">
      <c r="A202" t="s">
        <v>476</v>
      </c>
      <c r="B202" t="s">
        <v>1244</v>
      </c>
      <c r="C202"/>
      <c r="D202" s="170"/>
    </row>
    <row r="203" spans="1:4" ht="12.75" x14ac:dyDescent="0.2">
      <c r="A203" t="s">
        <v>1245</v>
      </c>
      <c r="B203" t="s">
        <v>1246</v>
      </c>
      <c r="C203"/>
      <c r="D203" s="170"/>
    </row>
    <row r="204" spans="1:4" ht="12.75" x14ac:dyDescent="0.2">
      <c r="A204" t="s">
        <v>477</v>
      </c>
      <c r="B204" t="s">
        <v>1247</v>
      </c>
      <c r="C204" s="175">
        <v>-5620000</v>
      </c>
      <c r="D204" s="170"/>
    </row>
    <row r="205" spans="1:4" ht="12.75" x14ac:dyDescent="0.2">
      <c r="A205" t="s">
        <v>1248</v>
      </c>
      <c r="B205" t="s">
        <v>1249</v>
      </c>
      <c r="C205"/>
      <c r="D205" s="170"/>
    </row>
    <row r="206" spans="1:4" ht="12.75" x14ac:dyDescent="0.2">
      <c r="A206" t="s">
        <v>478</v>
      </c>
      <c r="B206" t="s">
        <v>1250</v>
      </c>
      <c r="C206" s="175">
        <v>-8188700</v>
      </c>
      <c r="D206" s="170"/>
    </row>
    <row r="207" spans="1:4" ht="12.75" x14ac:dyDescent="0.2">
      <c r="A207" t="s">
        <v>1251</v>
      </c>
      <c r="B207" t="s">
        <v>1252</v>
      </c>
      <c r="C207"/>
      <c r="D207" s="170"/>
    </row>
    <row r="208" spans="1:4" ht="12.75" x14ac:dyDescent="0.2">
      <c r="A208" t="s">
        <v>479</v>
      </c>
      <c r="B208" t="s">
        <v>1253</v>
      </c>
      <c r="C208" s="175">
        <v>-162000</v>
      </c>
      <c r="D208" s="170"/>
    </row>
    <row r="209" spans="1:4" ht="12.75" x14ac:dyDescent="0.2">
      <c r="A209" t="s">
        <v>1254</v>
      </c>
      <c r="B209" t="s">
        <v>1255</v>
      </c>
      <c r="C209"/>
      <c r="D209" s="170"/>
    </row>
    <row r="210" spans="1:4" ht="12.75" x14ac:dyDescent="0.2">
      <c r="A210" t="s">
        <v>480</v>
      </c>
      <c r="B210" t="s">
        <v>732</v>
      </c>
      <c r="C210"/>
      <c r="D210" s="170"/>
    </row>
    <row r="211" spans="1:4" ht="12.75" x14ac:dyDescent="0.2">
      <c r="A211" t="s">
        <v>481</v>
      </c>
      <c r="B211" t="s">
        <v>482</v>
      </c>
      <c r="C211"/>
      <c r="D211" s="170"/>
    </row>
    <row r="212" spans="1:4" ht="12.75" x14ac:dyDescent="0.2">
      <c r="A212" t="s">
        <v>483</v>
      </c>
      <c r="B212" t="s">
        <v>484</v>
      </c>
      <c r="C212"/>
      <c r="D212" s="170"/>
    </row>
    <row r="213" spans="1:4" ht="12.75" x14ac:dyDescent="0.2">
      <c r="A213" t="s">
        <v>485</v>
      </c>
      <c r="B213" t="s">
        <v>486</v>
      </c>
      <c r="C213"/>
      <c r="D213" s="170"/>
    </row>
    <row r="214" spans="1:4" ht="12.75" x14ac:dyDescent="0.2">
      <c r="A214" t="s">
        <v>487</v>
      </c>
      <c r="B214" t="s">
        <v>488</v>
      </c>
      <c r="C214" s="175">
        <v>-210000</v>
      </c>
      <c r="D214" s="170"/>
    </row>
    <row r="215" spans="1:4" ht="12.75" x14ac:dyDescent="0.2">
      <c r="A215" t="s">
        <v>489</v>
      </c>
      <c r="B215" t="s">
        <v>490</v>
      </c>
      <c r="C215" s="175">
        <v>-10000</v>
      </c>
      <c r="D215" s="170"/>
    </row>
    <row r="216" spans="1:4" ht="12.75" x14ac:dyDescent="0.2">
      <c r="A216" t="s">
        <v>491</v>
      </c>
      <c r="B216" t="s">
        <v>492</v>
      </c>
      <c r="C216"/>
      <c r="D216" s="170"/>
    </row>
    <row r="217" spans="1:4" ht="12.75" x14ac:dyDescent="0.2">
      <c r="A217" t="s">
        <v>493</v>
      </c>
      <c r="B217" t="s">
        <v>494</v>
      </c>
      <c r="C217" s="175">
        <v>-137713.57999999999</v>
      </c>
      <c r="D217" s="170"/>
    </row>
    <row r="218" spans="1:4" ht="12.75" x14ac:dyDescent="0.2">
      <c r="A218" t="s">
        <v>495</v>
      </c>
      <c r="B218" t="s">
        <v>496</v>
      </c>
      <c r="C218" s="175">
        <v>-64558.997620836497</v>
      </c>
      <c r="D218" s="170"/>
    </row>
    <row r="219" spans="1:4" ht="12.75" x14ac:dyDescent="0.2">
      <c r="A219" t="s">
        <v>497</v>
      </c>
      <c r="B219" t="s">
        <v>498</v>
      </c>
      <c r="C219"/>
      <c r="D219" s="170"/>
    </row>
    <row r="220" spans="1:4" ht="12.75" x14ac:dyDescent="0.2">
      <c r="A220" t="s">
        <v>499</v>
      </c>
      <c r="B220" t="s">
        <v>500</v>
      </c>
      <c r="C220" s="175">
        <v>-3850000</v>
      </c>
      <c r="D220" s="170"/>
    </row>
    <row r="221" spans="1:4" ht="12.75" x14ac:dyDescent="0.2">
      <c r="A221" t="s">
        <v>501</v>
      </c>
      <c r="B221" t="s">
        <v>502</v>
      </c>
      <c r="C221"/>
      <c r="D221" s="170"/>
    </row>
    <row r="222" spans="1:4" ht="12.75" x14ac:dyDescent="0.2">
      <c r="A222" t="s">
        <v>503</v>
      </c>
      <c r="B222" t="s">
        <v>504</v>
      </c>
      <c r="C222"/>
      <c r="D222" s="170"/>
    </row>
    <row r="223" spans="1:4" ht="12.75" x14ac:dyDescent="0.2">
      <c r="A223" t="s">
        <v>505</v>
      </c>
      <c r="B223" t="s">
        <v>506</v>
      </c>
      <c r="C223" s="175">
        <v>-50000</v>
      </c>
      <c r="D223" s="170"/>
    </row>
    <row r="224" spans="1:4" ht="12.75" x14ac:dyDescent="0.2">
      <c r="A224" t="s">
        <v>507</v>
      </c>
      <c r="B224" t="s">
        <v>508</v>
      </c>
      <c r="C224"/>
      <c r="D224" s="170"/>
    </row>
    <row r="225" spans="1:4" ht="12.75" x14ac:dyDescent="0.2">
      <c r="A225" t="s">
        <v>509</v>
      </c>
      <c r="B225" t="s">
        <v>510</v>
      </c>
      <c r="C225" s="175">
        <v>-7743856.3399999999</v>
      </c>
      <c r="D225" s="170"/>
    </row>
    <row r="226" spans="1:4" ht="12.75" x14ac:dyDescent="0.2">
      <c r="A226" t="s">
        <v>511</v>
      </c>
      <c r="B226" t="s">
        <v>512</v>
      </c>
      <c r="C226"/>
      <c r="D226" s="170"/>
    </row>
    <row r="227" spans="1:4" ht="12.75" x14ac:dyDescent="0.2">
      <c r="A227" t="s">
        <v>513</v>
      </c>
      <c r="B227" t="s">
        <v>514</v>
      </c>
      <c r="C227" s="175">
        <v>-197454972.94999999</v>
      </c>
      <c r="D227" s="170"/>
    </row>
    <row r="228" spans="1:4" ht="12.75" x14ac:dyDescent="0.2">
      <c r="A228" t="s">
        <v>515</v>
      </c>
      <c r="B228" t="s">
        <v>516</v>
      </c>
      <c r="C228" s="175">
        <v>-45518019</v>
      </c>
      <c r="D228" s="170"/>
    </row>
    <row r="229" spans="1:4" ht="12.75" x14ac:dyDescent="0.2">
      <c r="A229" t="s">
        <v>517</v>
      </c>
      <c r="B229" t="s">
        <v>518</v>
      </c>
      <c r="C229" s="175">
        <v>-20303334</v>
      </c>
      <c r="D229" s="170"/>
    </row>
    <row r="230" spans="1:4" ht="12.75" x14ac:dyDescent="0.2">
      <c r="A230" t="s">
        <v>519</v>
      </c>
      <c r="B230" t="s">
        <v>520</v>
      </c>
      <c r="C230"/>
      <c r="D230" s="170"/>
    </row>
    <row r="231" spans="1:4" ht="12.75" x14ac:dyDescent="0.2">
      <c r="A231" t="s">
        <v>521</v>
      </c>
      <c r="B231" t="s">
        <v>522</v>
      </c>
      <c r="C231"/>
      <c r="D231" s="170"/>
    </row>
    <row r="232" spans="1:4" ht="12.75" x14ac:dyDescent="0.2">
      <c r="A232" t="s">
        <v>523</v>
      </c>
      <c r="B232" t="s">
        <v>524</v>
      </c>
      <c r="C232"/>
      <c r="D232" s="170"/>
    </row>
    <row r="233" spans="1:4" ht="12.75" x14ac:dyDescent="0.2">
      <c r="A233" t="s">
        <v>525</v>
      </c>
      <c r="B233" t="s">
        <v>526</v>
      </c>
      <c r="C233" s="175">
        <v>-38463763.68</v>
      </c>
      <c r="D233" s="170"/>
    </row>
    <row r="234" spans="1:4" ht="12.75" x14ac:dyDescent="0.2">
      <c r="A234" t="s">
        <v>527</v>
      </c>
      <c r="B234" t="s">
        <v>528</v>
      </c>
      <c r="C234" s="175">
        <v>-125000</v>
      </c>
      <c r="D234" s="170"/>
    </row>
    <row r="235" spans="1:4" ht="12.75" x14ac:dyDescent="0.2">
      <c r="A235" t="s">
        <v>529</v>
      </c>
      <c r="B235" t="s">
        <v>530</v>
      </c>
      <c r="C235" s="175">
        <v>-19532623</v>
      </c>
      <c r="D235" s="170"/>
    </row>
    <row r="236" spans="1:4" ht="12.75" x14ac:dyDescent="0.2">
      <c r="A236" t="s">
        <v>531</v>
      </c>
      <c r="B236" t="s">
        <v>532</v>
      </c>
      <c r="C236"/>
      <c r="D236" s="170"/>
    </row>
    <row r="237" spans="1:4" ht="12.75" x14ac:dyDescent="0.2">
      <c r="A237" t="s">
        <v>533</v>
      </c>
      <c r="B237" t="s">
        <v>534</v>
      </c>
      <c r="C237" s="175">
        <v>-15700</v>
      </c>
      <c r="D237" s="170"/>
    </row>
    <row r="238" spans="1:4" ht="12.75" x14ac:dyDescent="0.2">
      <c r="A238" t="s">
        <v>535</v>
      </c>
      <c r="B238" t="s">
        <v>733</v>
      </c>
      <c r="C238" s="175">
        <v>-601300</v>
      </c>
      <c r="D238" s="170"/>
    </row>
    <row r="239" spans="1:4" ht="12.75" x14ac:dyDescent="0.2">
      <c r="A239" t="s">
        <v>536</v>
      </c>
      <c r="B239" t="s">
        <v>537</v>
      </c>
      <c r="C239"/>
      <c r="D239" s="170"/>
    </row>
    <row r="240" spans="1:4" ht="12.75" x14ac:dyDescent="0.2">
      <c r="A240" t="s">
        <v>538</v>
      </c>
      <c r="B240" t="s">
        <v>539</v>
      </c>
      <c r="C240" s="175">
        <v>-22222641</v>
      </c>
      <c r="D240" s="170"/>
    </row>
    <row r="241" spans="1:4" ht="12.75" x14ac:dyDescent="0.2">
      <c r="A241" t="s">
        <v>540</v>
      </c>
      <c r="B241" t="s">
        <v>541</v>
      </c>
      <c r="C241" s="175">
        <v>-232178</v>
      </c>
      <c r="D241" s="170"/>
    </row>
    <row r="242" spans="1:4" ht="12.75" x14ac:dyDescent="0.2">
      <c r="A242" t="s">
        <v>542</v>
      </c>
      <c r="B242" t="s">
        <v>543</v>
      </c>
      <c r="C242"/>
      <c r="D242" s="170"/>
    </row>
    <row r="243" spans="1:4" ht="12.75" x14ac:dyDescent="0.2">
      <c r="A243" t="s">
        <v>544</v>
      </c>
      <c r="B243" t="s">
        <v>545</v>
      </c>
      <c r="C243" s="175">
        <v>-22227236.02</v>
      </c>
      <c r="D243" s="170"/>
    </row>
    <row r="244" spans="1:4" ht="12.75" x14ac:dyDescent="0.2">
      <c r="A244" t="s">
        <v>546</v>
      </c>
      <c r="B244" t="s">
        <v>734</v>
      </c>
      <c r="C244" s="175">
        <v>-340300.15972692298</v>
      </c>
      <c r="D244" s="170"/>
    </row>
    <row r="245" spans="1:4" ht="12.75" x14ac:dyDescent="0.2">
      <c r="A245" t="s">
        <v>547</v>
      </c>
      <c r="B245" t="s">
        <v>548</v>
      </c>
      <c r="C245" s="175">
        <v>-1853200</v>
      </c>
      <c r="D245" s="170"/>
    </row>
    <row r="246" spans="1:4" ht="12.75" x14ac:dyDescent="0.2">
      <c r="A246" t="s">
        <v>549</v>
      </c>
      <c r="B246" t="s">
        <v>550</v>
      </c>
      <c r="C246" s="175">
        <v>-1825699.8402730799</v>
      </c>
      <c r="D246" s="170"/>
    </row>
    <row r="247" spans="1:4" ht="12.75" x14ac:dyDescent="0.2">
      <c r="A247" t="s">
        <v>551</v>
      </c>
      <c r="B247" t="s">
        <v>552</v>
      </c>
      <c r="C247"/>
      <c r="D247" s="170"/>
    </row>
    <row r="248" spans="1:4" ht="12.75" x14ac:dyDescent="0.2">
      <c r="A248" t="s">
        <v>553</v>
      </c>
      <c r="B248" t="s">
        <v>554</v>
      </c>
      <c r="C248"/>
      <c r="D248" s="170"/>
    </row>
    <row r="249" spans="1:4" ht="12.75" x14ac:dyDescent="0.2">
      <c r="A249" t="s">
        <v>555</v>
      </c>
      <c r="B249" t="s">
        <v>556</v>
      </c>
      <c r="C249"/>
      <c r="D249" s="170"/>
    </row>
    <row r="250" spans="1:4" ht="12.75" x14ac:dyDescent="0.2">
      <c r="A250" t="s">
        <v>557</v>
      </c>
      <c r="B250" t="s">
        <v>558</v>
      </c>
      <c r="C250"/>
      <c r="D250" s="170"/>
    </row>
    <row r="251" spans="1:4" ht="12.75" x14ac:dyDescent="0.2">
      <c r="A251" t="s">
        <v>559</v>
      </c>
      <c r="B251" t="s">
        <v>63</v>
      </c>
      <c r="C251"/>
      <c r="D251" s="170"/>
    </row>
    <row r="252" spans="1:4" ht="12.75" x14ac:dyDescent="0.2">
      <c r="A252" t="s">
        <v>560</v>
      </c>
      <c r="B252" t="s">
        <v>561</v>
      </c>
      <c r="C252" s="175">
        <v>-303064</v>
      </c>
      <c r="D252" s="170"/>
    </row>
    <row r="253" spans="1:4" ht="12.75" x14ac:dyDescent="0.2">
      <c r="A253" t="s">
        <v>562</v>
      </c>
      <c r="B253" t="s">
        <v>64</v>
      </c>
      <c r="C253" s="175">
        <v>-1250000</v>
      </c>
      <c r="D253" s="170"/>
    </row>
    <row r="254" spans="1:4" ht="12.75" x14ac:dyDescent="0.2">
      <c r="A254" t="s">
        <v>563</v>
      </c>
      <c r="B254" t="s">
        <v>564</v>
      </c>
      <c r="C254" s="175">
        <v>-12000</v>
      </c>
      <c r="D254" s="170"/>
    </row>
    <row r="255" spans="1:4" ht="12.75" x14ac:dyDescent="0.2">
      <c r="A255" t="s">
        <v>565</v>
      </c>
      <c r="B255" t="s">
        <v>566</v>
      </c>
      <c r="C255"/>
      <c r="D255" s="170"/>
    </row>
    <row r="256" spans="1:4" ht="12.75" x14ac:dyDescent="0.2">
      <c r="A256" t="s">
        <v>567</v>
      </c>
      <c r="B256" t="s">
        <v>568</v>
      </c>
      <c r="C256">
        <v>0</v>
      </c>
      <c r="D256" s="170"/>
    </row>
    <row r="257" spans="1:4" ht="12.75" x14ac:dyDescent="0.2">
      <c r="A257" t="s">
        <v>569</v>
      </c>
      <c r="B257" t="s">
        <v>570</v>
      </c>
      <c r="C257">
        <v>0</v>
      </c>
      <c r="D257" s="170"/>
    </row>
    <row r="258" spans="1:4" ht="12.75" x14ac:dyDescent="0.2">
      <c r="A258" t="s">
        <v>571</v>
      </c>
      <c r="B258" t="s">
        <v>572</v>
      </c>
      <c r="C258" s="175">
        <v>-558580</v>
      </c>
      <c r="D258" s="170"/>
    </row>
    <row r="259" spans="1:4" ht="12.75" x14ac:dyDescent="0.2">
      <c r="A259" t="s">
        <v>573</v>
      </c>
      <c r="B259" t="s">
        <v>574</v>
      </c>
      <c r="C259" s="175">
        <v>-6739050</v>
      </c>
      <c r="D259" s="170"/>
    </row>
    <row r="260" spans="1:4" ht="12.75" x14ac:dyDescent="0.2">
      <c r="A260" t="s">
        <v>575</v>
      </c>
      <c r="B260" t="s">
        <v>576</v>
      </c>
      <c r="C260"/>
      <c r="D260" s="170"/>
    </row>
    <row r="261" spans="1:4" ht="12.75" x14ac:dyDescent="0.2">
      <c r="A261" t="s">
        <v>577</v>
      </c>
      <c r="B261" t="s">
        <v>578</v>
      </c>
      <c r="C261"/>
      <c r="D261" s="170"/>
    </row>
    <row r="262" spans="1:4" ht="12.75" x14ac:dyDescent="0.2">
      <c r="A262" t="s">
        <v>1256</v>
      </c>
      <c r="B262" t="s">
        <v>1257</v>
      </c>
      <c r="C262" s="175">
        <v>-38925</v>
      </c>
      <c r="D262" s="170"/>
    </row>
    <row r="263" spans="1:4" ht="12.75" x14ac:dyDescent="0.2">
      <c r="A263" t="s">
        <v>1258</v>
      </c>
      <c r="B263" t="s">
        <v>1259</v>
      </c>
      <c r="C263" s="175">
        <v>-118584</v>
      </c>
      <c r="D263" s="170"/>
    </row>
    <row r="264" spans="1:4" ht="12.75" x14ac:dyDescent="0.2">
      <c r="A264" t="s">
        <v>579</v>
      </c>
      <c r="B264" t="s">
        <v>581</v>
      </c>
      <c r="C264" s="175">
        <v>-34907892.655000001</v>
      </c>
      <c r="D264" s="170"/>
    </row>
    <row r="265" spans="1:4" ht="12.75" x14ac:dyDescent="0.2">
      <c r="A265" t="s">
        <v>1260</v>
      </c>
      <c r="B265" t="s">
        <v>1261</v>
      </c>
      <c r="C265"/>
      <c r="D265" s="170"/>
    </row>
    <row r="266" spans="1:4" ht="12.75" x14ac:dyDescent="0.2">
      <c r="A266" t="s">
        <v>582</v>
      </c>
      <c r="B266" t="s">
        <v>1262</v>
      </c>
      <c r="C266" s="175">
        <v>-5000</v>
      </c>
      <c r="D266" s="170"/>
    </row>
    <row r="267" spans="1:4" ht="12.75" x14ac:dyDescent="0.2">
      <c r="A267" t="s">
        <v>673</v>
      </c>
      <c r="B267" t="s">
        <v>1263</v>
      </c>
      <c r="C267" s="175">
        <v>-54609484.349999994</v>
      </c>
      <c r="D267" s="170"/>
    </row>
    <row r="268" spans="1:4" ht="12.75" x14ac:dyDescent="0.2">
      <c r="A268" t="s">
        <v>674</v>
      </c>
      <c r="B268" t="s">
        <v>1264</v>
      </c>
      <c r="C268" s="175">
        <v>-12496</v>
      </c>
      <c r="D268" s="170"/>
    </row>
    <row r="269" spans="1:4" ht="12.75" x14ac:dyDescent="0.2">
      <c r="A269" t="s">
        <v>675</v>
      </c>
      <c r="B269" t="s">
        <v>676</v>
      </c>
      <c r="C269"/>
      <c r="D269" s="170"/>
    </row>
    <row r="270" spans="1:4" ht="12.75" x14ac:dyDescent="0.2">
      <c r="A270" t="s">
        <v>677</v>
      </c>
      <c r="B270" t="s">
        <v>678</v>
      </c>
      <c r="C270" s="175">
        <v>-152800</v>
      </c>
      <c r="D270" s="170"/>
    </row>
    <row r="271" spans="1:4" ht="12.75" x14ac:dyDescent="0.2">
      <c r="A271" t="s">
        <v>679</v>
      </c>
      <c r="B271" t="s">
        <v>680</v>
      </c>
      <c r="C271" s="175">
        <v>-4200833</v>
      </c>
      <c r="D271" s="170"/>
    </row>
    <row r="272" spans="1:4" ht="12.75" x14ac:dyDescent="0.2">
      <c r="A272" t="s">
        <v>681</v>
      </c>
      <c r="B272" t="s">
        <v>682</v>
      </c>
      <c r="C272" s="175">
        <v>-24700</v>
      </c>
      <c r="D272" s="170"/>
    </row>
    <row r="273" spans="1:4" ht="12.75" x14ac:dyDescent="0.2">
      <c r="A273" t="s">
        <v>683</v>
      </c>
      <c r="B273" t="s">
        <v>684</v>
      </c>
      <c r="C273" s="175">
        <v>-320000</v>
      </c>
      <c r="D273" s="170"/>
    </row>
    <row r="274" spans="1:4" ht="12.75" x14ac:dyDescent="0.2">
      <c r="A274" t="s">
        <v>685</v>
      </c>
      <c r="B274" t="s">
        <v>686</v>
      </c>
      <c r="C274"/>
      <c r="D274" s="170"/>
    </row>
    <row r="275" spans="1:4" ht="12.75" x14ac:dyDescent="0.2">
      <c r="A275" t="s">
        <v>687</v>
      </c>
      <c r="B275" t="s">
        <v>688</v>
      </c>
      <c r="C275"/>
      <c r="D275" s="170"/>
    </row>
    <row r="276" spans="1:4" ht="12.75" x14ac:dyDescent="0.2">
      <c r="A276" t="s">
        <v>689</v>
      </c>
      <c r="B276" t="s">
        <v>690</v>
      </c>
      <c r="C276"/>
      <c r="D276" s="170"/>
    </row>
    <row r="277" spans="1:4" ht="12.75" x14ac:dyDescent="0.2">
      <c r="A277" t="s">
        <v>691</v>
      </c>
      <c r="B277" t="s">
        <v>692</v>
      </c>
      <c r="C277"/>
      <c r="D277" s="170"/>
    </row>
    <row r="278" spans="1:4" ht="12.75" x14ac:dyDescent="0.2">
      <c r="A278" t="s">
        <v>693</v>
      </c>
      <c r="B278" t="s">
        <v>694</v>
      </c>
      <c r="C278" s="175">
        <v>-280000</v>
      </c>
      <c r="D278" s="170"/>
    </row>
    <row r="279" spans="1:4" ht="12.75" x14ac:dyDescent="0.2">
      <c r="A279" t="s">
        <v>695</v>
      </c>
      <c r="B279" t="s">
        <v>696</v>
      </c>
      <c r="C279" s="175">
        <v>-50000</v>
      </c>
      <c r="D279" s="170"/>
    </row>
    <row r="280" spans="1:4" ht="12.75" x14ac:dyDescent="0.2">
      <c r="A280" t="s">
        <v>697</v>
      </c>
      <c r="B280" t="s">
        <v>698</v>
      </c>
      <c r="C280"/>
      <c r="D280" s="170"/>
    </row>
    <row r="281" spans="1:4" ht="12.75" x14ac:dyDescent="0.2">
      <c r="A281" t="s">
        <v>699</v>
      </c>
      <c r="B281" t="s">
        <v>700</v>
      </c>
      <c r="C281" s="175">
        <v>-2478257.61</v>
      </c>
      <c r="D281" s="170"/>
    </row>
    <row r="282" spans="1:4" ht="12.75" x14ac:dyDescent="0.2">
      <c r="A282" t="s">
        <v>701</v>
      </c>
      <c r="B282" t="s">
        <v>702</v>
      </c>
      <c r="C282" s="175">
        <v>-8252335</v>
      </c>
      <c r="D282" s="170"/>
    </row>
    <row r="283" spans="1:4" ht="12.75" x14ac:dyDescent="0.2">
      <c r="A283" t="s">
        <v>703</v>
      </c>
      <c r="B283" t="s">
        <v>704</v>
      </c>
      <c r="C283" s="175">
        <v>-319266.48</v>
      </c>
      <c r="D283" s="170"/>
    </row>
    <row r="284" spans="1:4" ht="12.75" x14ac:dyDescent="0.2">
      <c r="A284" t="s">
        <v>1265</v>
      </c>
      <c r="B284" t="s">
        <v>1266</v>
      </c>
      <c r="C284"/>
      <c r="D284" s="170"/>
    </row>
    <row r="285" spans="1:4" ht="12.75" x14ac:dyDescent="0.2">
      <c r="A285" t="s">
        <v>705</v>
      </c>
      <c r="B285" t="s">
        <v>706</v>
      </c>
      <c r="C285"/>
      <c r="D285" s="170"/>
    </row>
    <row r="286" spans="1:4" ht="12.75" x14ac:dyDescent="0.2">
      <c r="A286" t="s">
        <v>707</v>
      </c>
      <c r="B286" t="s">
        <v>708</v>
      </c>
      <c r="C286" s="175">
        <v>-557759.13</v>
      </c>
      <c r="D286" s="170"/>
    </row>
    <row r="287" spans="1:4" ht="12.75" x14ac:dyDescent="0.2">
      <c r="A287" t="s">
        <v>709</v>
      </c>
      <c r="B287" t="s">
        <v>710</v>
      </c>
      <c r="C287" s="175">
        <v>-184704</v>
      </c>
      <c r="D287" s="170"/>
    </row>
    <row r="288" spans="1:4" ht="12.75" x14ac:dyDescent="0.2">
      <c r="A288" t="s">
        <v>711</v>
      </c>
      <c r="B288" t="s">
        <v>712</v>
      </c>
      <c r="C288"/>
      <c r="D288" s="170"/>
    </row>
    <row r="289" spans="1:4" ht="12.75" x14ac:dyDescent="0.2">
      <c r="A289" t="s">
        <v>713</v>
      </c>
      <c r="B289" t="s">
        <v>714</v>
      </c>
      <c r="C289" s="175">
        <v>-2565145.96</v>
      </c>
      <c r="D289" s="170"/>
    </row>
    <row r="290" spans="1:4" ht="12.75" x14ac:dyDescent="0.2">
      <c r="A290" t="s">
        <v>715</v>
      </c>
      <c r="B290" t="s">
        <v>716</v>
      </c>
      <c r="C290" s="175">
        <v>-12000</v>
      </c>
      <c r="D290" s="170"/>
    </row>
    <row r="291" spans="1:4" ht="12.75" x14ac:dyDescent="0.2">
      <c r="A291" t="s">
        <v>717</v>
      </c>
      <c r="B291" t="s">
        <v>718</v>
      </c>
      <c r="C291" s="175">
        <v>-300000</v>
      </c>
      <c r="D291" s="170"/>
    </row>
    <row r="292" spans="1:4" ht="12.75" x14ac:dyDescent="0.2">
      <c r="A292" t="s">
        <v>719</v>
      </c>
      <c r="B292" t="s">
        <v>720</v>
      </c>
      <c r="C292">
        <v>0</v>
      </c>
      <c r="D292" s="170"/>
    </row>
    <row r="293" spans="1:4" ht="12.75" x14ac:dyDescent="0.2">
      <c r="A293" t="s">
        <v>721</v>
      </c>
      <c r="B293" t="s">
        <v>722</v>
      </c>
      <c r="C293" s="175">
        <v>-4350000</v>
      </c>
      <c r="D293" s="170"/>
    </row>
    <row r="294" spans="1:4" ht="12.75" x14ac:dyDescent="0.2">
      <c r="A294" t="s">
        <v>723</v>
      </c>
      <c r="B294" t="s">
        <v>724</v>
      </c>
      <c r="C294" s="175">
        <v>-3670000</v>
      </c>
      <c r="D294" s="170"/>
    </row>
    <row r="295" spans="1:4" ht="12.75" x14ac:dyDescent="0.2">
      <c r="A295" t="s">
        <v>725</v>
      </c>
      <c r="B295" t="s">
        <v>726</v>
      </c>
      <c r="C295"/>
      <c r="D295" s="170"/>
    </row>
    <row r="296" spans="1:4" ht="12.75" x14ac:dyDescent="0.2">
      <c r="A296" t="s">
        <v>727</v>
      </c>
      <c r="B296" t="s">
        <v>728</v>
      </c>
      <c r="C296" s="175">
        <v>-688790.53</v>
      </c>
      <c r="D296" s="170"/>
    </row>
    <row r="297" spans="1:4" ht="12.75" x14ac:dyDescent="0.2">
      <c r="A297" t="s">
        <v>729</v>
      </c>
      <c r="B297" t="s">
        <v>730</v>
      </c>
      <c r="C297"/>
      <c r="D297" s="170"/>
    </row>
    <row r="298" spans="1:4" ht="12.75" x14ac:dyDescent="0.2">
      <c r="A298" t="s">
        <v>731</v>
      </c>
      <c r="B298" t="s">
        <v>950</v>
      </c>
      <c r="C298"/>
      <c r="D298" s="170"/>
    </row>
    <row r="299" spans="1:4" ht="12.75" x14ac:dyDescent="0.2">
      <c r="A299" t="s">
        <v>951</v>
      </c>
      <c r="B299" t="s">
        <v>952</v>
      </c>
      <c r="C299"/>
      <c r="D299" s="170"/>
    </row>
    <row r="300" spans="1:4" ht="12.75" x14ac:dyDescent="0.2">
      <c r="A300" t="s">
        <v>953</v>
      </c>
      <c r="B300" t="s">
        <v>954</v>
      </c>
      <c r="C300" s="175">
        <v>-161984.24</v>
      </c>
      <c r="D300" s="170"/>
    </row>
    <row r="301" spans="1:4" ht="12.75" x14ac:dyDescent="0.2">
      <c r="A301" t="s">
        <v>955</v>
      </c>
      <c r="B301" t="s">
        <v>956</v>
      </c>
      <c r="C301" s="175">
        <v>-8691538</v>
      </c>
      <c r="D301" s="170"/>
    </row>
    <row r="302" spans="1:4" ht="12.75" x14ac:dyDescent="0.2">
      <c r="A302" t="s">
        <v>957</v>
      </c>
      <c r="B302" t="s">
        <v>958</v>
      </c>
      <c r="C302">
        <v>0</v>
      </c>
      <c r="D302" s="170"/>
    </row>
    <row r="303" spans="1:4" ht="12.75" x14ac:dyDescent="0.2">
      <c r="A303" t="s">
        <v>959</v>
      </c>
      <c r="B303" t="s">
        <v>960</v>
      </c>
      <c r="C303" s="175">
        <v>-25766700</v>
      </c>
      <c r="D303" s="170"/>
    </row>
    <row r="304" spans="1:4" ht="12.75" x14ac:dyDescent="0.2">
      <c r="A304" t="s">
        <v>961</v>
      </c>
      <c r="B304" t="s">
        <v>962</v>
      </c>
      <c r="C304" s="175">
        <v>-900000</v>
      </c>
      <c r="D304" s="170"/>
    </row>
    <row r="305" spans="1:4" ht="12.75" x14ac:dyDescent="0.2">
      <c r="A305" t="s">
        <v>1267</v>
      </c>
      <c r="B305" t="s">
        <v>1268</v>
      </c>
      <c r="C305"/>
      <c r="D305" s="170"/>
    </row>
    <row r="306" spans="1:4" ht="12.75" x14ac:dyDescent="0.2">
      <c r="A306" t="s">
        <v>1269</v>
      </c>
      <c r="B306" t="s">
        <v>1270</v>
      </c>
      <c r="C306"/>
      <c r="D306" s="170"/>
    </row>
    <row r="307" spans="1:4" ht="12.75" x14ac:dyDescent="0.2">
      <c r="A307" t="s">
        <v>963</v>
      </c>
      <c r="B307" t="s">
        <v>1361</v>
      </c>
      <c r="C307"/>
      <c r="D307" s="170"/>
    </row>
    <row r="308" spans="1:4" ht="12.75" x14ac:dyDescent="0.2">
      <c r="A308" t="s">
        <v>965</v>
      </c>
      <c r="B308" t="s">
        <v>65</v>
      </c>
      <c r="C308"/>
      <c r="D308" s="170"/>
    </row>
    <row r="309" spans="1:4" ht="12.75" x14ac:dyDescent="0.2">
      <c r="A309" t="s">
        <v>966</v>
      </c>
      <c r="B309" t="s">
        <v>66</v>
      </c>
      <c r="C309"/>
      <c r="D309" s="170"/>
    </row>
    <row r="310" spans="1:4" ht="12.75" x14ac:dyDescent="0.2">
      <c r="A310" t="s">
        <v>967</v>
      </c>
      <c r="B310" t="s">
        <v>67</v>
      </c>
      <c r="C310" s="175">
        <v>-3700000</v>
      </c>
      <c r="D310" s="170"/>
    </row>
    <row r="311" spans="1:4" ht="12.75" x14ac:dyDescent="0.2">
      <c r="A311" t="s">
        <v>968</v>
      </c>
      <c r="B311" t="s">
        <v>68</v>
      </c>
      <c r="C311" s="175">
        <v>-5900000</v>
      </c>
      <c r="D311" s="170"/>
    </row>
    <row r="312" spans="1:4" ht="12.75" x14ac:dyDescent="0.2">
      <c r="A312" t="s">
        <v>969</v>
      </c>
      <c r="B312" t="s">
        <v>69</v>
      </c>
      <c r="C312"/>
      <c r="D312" s="170"/>
    </row>
    <row r="313" spans="1:4" ht="12.75" x14ac:dyDescent="0.2">
      <c r="A313" t="s">
        <v>1271</v>
      </c>
      <c r="B313" t="s">
        <v>1272</v>
      </c>
      <c r="C313" s="175">
        <v>-3900000</v>
      </c>
      <c r="D313" s="170"/>
    </row>
    <row r="314" spans="1:4" ht="12.75" x14ac:dyDescent="0.2">
      <c r="A314" t="s">
        <v>1273</v>
      </c>
      <c r="B314" t="s">
        <v>1274</v>
      </c>
      <c r="C314" s="175">
        <v>-2800000</v>
      </c>
      <c r="D314" s="170"/>
    </row>
    <row r="315" spans="1:4" ht="12.75" x14ac:dyDescent="0.2">
      <c r="A315" t="s">
        <v>970</v>
      </c>
      <c r="B315" t="s">
        <v>70</v>
      </c>
      <c r="C315" s="175">
        <v>-12894000</v>
      </c>
      <c r="D315" s="170"/>
    </row>
    <row r="316" spans="1:4" ht="12.75" x14ac:dyDescent="0.2">
      <c r="A316" t="s">
        <v>971</v>
      </c>
      <c r="B316" t="s">
        <v>972</v>
      </c>
      <c r="C316" s="175">
        <v>-1900000</v>
      </c>
      <c r="D316" s="170"/>
    </row>
    <row r="317" spans="1:4" ht="12.75" x14ac:dyDescent="0.2">
      <c r="A317" t="s">
        <v>973</v>
      </c>
      <c r="B317" t="s">
        <v>71</v>
      </c>
      <c r="C317" s="175">
        <v>-1900000</v>
      </c>
      <c r="D317" s="170"/>
    </row>
    <row r="318" spans="1:4" ht="12.75" x14ac:dyDescent="0.2">
      <c r="A318" t="s">
        <v>974</v>
      </c>
      <c r="B318" t="s">
        <v>72</v>
      </c>
      <c r="C318" s="175">
        <v>-1800000</v>
      </c>
      <c r="D318" s="170"/>
    </row>
    <row r="319" spans="1:4" ht="12.75" x14ac:dyDescent="0.2">
      <c r="A319" t="s">
        <v>975</v>
      </c>
      <c r="B319" t="s">
        <v>73</v>
      </c>
      <c r="C319" s="175">
        <v>-2200000</v>
      </c>
      <c r="D319" s="170"/>
    </row>
    <row r="320" spans="1:4" ht="12.75" x14ac:dyDescent="0.2">
      <c r="A320" t="s">
        <v>976</v>
      </c>
      <c r="B320" t="s">
        <v>74</v>
      </c>
      <c r="C320" s="175">
        <v>-10800000</v>
      </c>
      <c r="D320" s="170"/>
    </row>
    <row r="321" spans="1:4" ht="12.75" x14ac:dyDescent="0.2">
      <c r="A321" t="s">
        <v>977</v>
      </c>
      <c r="B321" t="s">
        <v>75</v>
      </c>
      <c r="C321" s="175">
        <v>-735000</v>
      </c>
      <c r="D321" s="170"/>
    </row>
    <row r="322" spans="1:4" ht="12.75" x14ac:dyDescent="0.2">
      <c r="A322" t="s">
        <v>978</v>
      </c>
      <c r="B322" t="s">
        <v>76</v>
      </c>
      <c r="C322"/>
      <c r="D322" s="170"/>
    </row>
    <row r="323" spans="1:4" ht="12.75" x14ac:dyDescent="0.2">
      <c r="A323" t="s">
        <v>979</v>
      </c>
      <c r="B323" t="s">
        <v>77</v>
      </c>
      <c r="C323" s="175">
        <v>-27263</v>
      </c>
      <c r="D323" s="170"/>
    </row>
    <row r="324" spans="1:4" ht="12.75" x14ac:dyDescent="0.2">
      <c r="A324" t="s">
        <v>980</v>
      </c>
      <c r="B324" t="s">
        <v>78</v>
      </c>
      <c r="C324" s="175">
        <v>-685880</v>
      </c>
      <c r="D324" s="170"/>
    </row>
    <row r="325" spans="1:4" ht="12.75" x14ac:dyDescent="0.2">
      <c r="A325" t="s">
        <v>981</v>
      </c>
      <c r="B325" t="s">
        <v>79</v>
      </c>
      <c r="C325"/>
      <c r="D325" s="170"/>
    </row>
    <row r="326" spans="1:4" ht="12.75" x14ac:dyDescent="0.2">
      <c r="A326" t="s">
        <v>982</v>
      </c>
      <c r="B326" t="s">
        <v>983</v>
      </c>
      <c r="C326" s="175">
        <v>-7031270.3599999994</v>
      </c>
      <c r="D326" s="170"/>
    </row>
    <row r="327" spans="1:4" ht="12.75" x14ac:dyDescent="0.2">
      <c r="A327" t="s">
        <v>984</v>
      </c>
      <c r="B327" t="s">
        <v>985</v>
      </c>
      <c r="C327" s="175">
        <v>-2387263</v>
      </c>
      <c r="D327" s="170"/>
    </row>
    <row r="328" spans="1:4" ht="12.75" x14ac:dyDescent="0.2">
      <c r="A328" t="s">
        <v>986</v>
      </c>
      <c r="B328" t="s">
        <v>80</v>
      </c>
      <c r="C328" s="175">
        <v>-10282648.521816254</v>
      </c>
      <c r="D328" s="170"/>
    </row>
    <row r="329" spans="1:4" ht="12.75" x14ac:dyDescent="0.2">
      <c r="A329" t="s">
        <v>987</v>
      </c>
      <c r="B329" t="s">
        <v>988</v>
      </c>
      <c r="C329"/>
      <c r="D329" s="170"/>
    </row>
    <row r="330" spans="1:4" ht="12.75" x14ac:dyDescent="0.2">
      <c r="A330" t="s">
        <v>989</v>
      </c>
      <c r="B330" t="s">
        <v>990</v>
      </c>
      <c r="C330" s="175">
        <v>-6300</v>
      </c>
      <c r="D330" s="170"/>
    </row>
    <row r="331" spans="1:4" ht="12.75" x14ac:dyDescent="0.2">
      <c r="A331" t="s">
        <v>991</v>
      </c>
      <c r="B331" t="s">
        <v>992</v>
      </c>
      <c r="C331">
        <v>0</v>
      </c>
      <c r="D331" s="170"/>
    </row>
    <row r="332" spans="1:4" ht="12.75" x14ac:dyDescent="0.2">
      <c r="A332" t="s">
        <v>993</v>
      </c>
      <c r="B332" t="s">
        <v>994</v>
      </c>
      <c r="C332"/>
      <c r="D332" s="170"/>
    </row>
    <row r="333" spans="1:4" ht="12.75" x14ac:dyDescent="0.2">
      <c r="A333" t="s">
        <v>995</v>
      </c>
      <c r="B333" t="s">
        <v>81</v>
      </c>
      <c r="C333" s="175">
        <v>-418051.72</v>
      </c>
      <c r="D333" s="170"/>
    </row>
    <row r="334" spans="1:4" ht="12.75" x14ac:dyDescent="0.2">
      <c r="A334" t="s">
        <v>996</v>
      </c>
      <c r="B334" t="s">
        <v>837</v>
      </c>
      <c r="C334" s="175">
        <v>-200623</v>
      </c>
      <c r="D334" s="170"/>
    </row>
    <row r="335" spans="1:4" ht="12.75" x14ac:dyDescent="0.2">
      <c r="A335" t="s">
        <v>997</v>
      </c>
      <c r="B335" t="s">
        <v>998</v>
      </c>
      <c r="C335"/>
      <c r="D335" s="170"/>
    </row>
    <row r="336" spans="1:4" ht="12.75" x14ac:dyDescent="0.2">
      <c r="A336" t="s">
        <v>999</v>
      </c>
      <c r="B336" t="s">
        <v>1000</v>
      </c>
      <c r="C336" s="175">
        <v>-600000</v>
      </c>
      <c r="D336" s="170"/>
    </row>
    <row r="337" spans="1:4" ht="12.75" x14ac:dyDescent="0.2">
      <c r="A337" t="s">
        <v>1001</v>
      </c>
      <c r="B337" t="s">
        <v>1002</v>
      </c>
      <c r="C337" s="175">
        <v>-405000</v>
      </c>
      <c r="D337" s="170"/>
    </row>
    <row r="338" spans="1:4" ht="12.75" x14ac:dyDescent="0.2">
      <c r="A338" t="s">
        <v>1275</v>
      </c>
      <c r="B338" t="s">
        <v>1276</v>
      </c>
      <c r="C338"/>
      <c r="D338" s="170"/>
    </row>
    <row r="339" spans="1:4" ht="12.75" x14ac:dyDescent="0.2">
      <c r="A339" t="s">
        <v>1003</v>
      </c>
      <c r="B339" t="s">
        <v>838</v>
      </c>
      <c r="C339"/>
      <c r="D339" s="170"/>
    </row>
    <row r="340" spans="1:4" ht="12.75" x14ac:dyDescent="0.2">
      <c r="A340" t="s">
        <v>1004</v>
      </c>
      <c r="B340" t="s">
        <v>1005</v>
      </c>
      <c r="C340" s="175">
        <v>-218544.14</v>
      </c>
      <c r="D340" s="170"/>
    </row>
    <row r="341" spans="1:4" ht="12.75" x14ac:dyDescent="0.2">
      <c r="A341" t="s">
        <v>1006</v>
      </c>
      <c r="B341" t="s">
        <v>1007</v>
      </c>
      <c r="C341"/>
      <c r="D341" s="170"/>
    </row>
    <row r="342" spans="1:4" ht="12.75" x14ac:dyDescent="0.2">
      <c r="A342" t="s">
        <v>1008</v>
      </c>
      <c r="B342" t="s">
        <v>839</v>
      </c>
      <c r="C342"/>
      <c r="D342" s="170"/>
    </row>
    <row r="343" spans="1:4" ht="12.75" x14ac:dyDescent="0.2">
      <c r="A343" t="s">
        <v>1009</v>
      </c>
      <c r="B343" t="s">
        <v>840</v>
      </c>
      <c r="C343"/>
      <c r="D343" s="170"/>
    </row>
    <row r="344" spans="1:4" ht="12.75" x14ac:dyDescent="0.2">
      <c r="A344" t="s">
        <v>1010</v>
      </c>
      <c r="B344" t="s">
        <v>841</v>
      </c>
      <c r="C344" s="175">
        <v>-200000</v>
      </c>
      <c r="D344" s="170"/>
    </row>
    <row r="345" spans="1:4" ht="12.75" x14ac:dyDescent="0.2">
      <c r="A345" t="s">
        <v>1011</v>
      </c>
      <c r="B345" t="s">
        <v>842</v>
      </c>
      <c r="C345" s="175">
        <v>-225000</v>
      </c>
      <c r="D345" s="170"/>
    </row>
    <row r="346" spans="1:4" ht="12.75" x14ac:dyDescent="0.2">
      <c r="A346" t="s">
        <v>1012</v>
      </c>
      <c r="B346" t="s">
        <v>843</v>
      </c>
      <c r="C346"/>
      <c r="D346" s="170"/>
    </row>
    <row r="347" spans="1:4" ht="12.75" x14ac:dyDescent="0.2">
      <c r="A347" t="s">
        <v>1013</v>
      </c>
      <c r="B347" t="s">
        <v>1014</v>
      </c>
      <c r="C347" s="175">
        <v>-4922000</v>
      </c>
      <c r="D347" s="170"/>
    </row>
    <row r="348" spans="1:4" ht="12.75" x14ac:dyDescent="0.2">
      <c r="A348" t="s">
        <v>1015</v>
      </c>
      <c r="B348" t="s">
        <v>1016</v>
      </c>
      <c r="C348" s="175">
        <v>-5000</v>
      </c>
      <c r="D348" s="170"/>
    </row>
    <row r="349" spans="1:4" ht="12.75" x14ac:dyDescent="0.2">
      <c r="A349" t="s">
        <v>1017</v>
      </c>
      <c r="B349" t="s">
        <v>1018</v>
      </c>
      <c r="C349" s="175">
        <v>-5349000</v>
      </c>
      <c r="D349" s="170"/>
    </row>
    <row r="350" spans="1:4" ht="12.75" x14ac:dyDescent="0.2">
      <c r="A350" t="s">
        <v>1019</v>
      </c>
      <c r="B350" t="s">
        <v>1020</v>
      </c>
      <c r="C350" s="175">
        <v>-100000</v>
      </c>
      <c r="D350" s="170"/>
    </row>
    <row r="351" spans="1:4" ht="12.75" x14ac:dyDescent="0.2">
      <c r="A351" t="s">
        <v>1021</v>
      </c>
      <c r="B351" t="s">
        <v>1022</v>
      </c>
      <c r="C351" s="175">
        <v>-500000</v>
      </c>
      <c r="D351" s="170"/>
    </row>
    <row r="352" spans="1:4" ht="12.75" x14ac:dyDescent="0.2">
      <c r="A352" t="s">
        <v>1023</v>
      </c>
      <c r="B352" t="s">
        <v>1024</v>
      </c>
      <c r="C352" s="175">
        <v>-3915666.98</v>
      </c>
      <c r="D352" s="170"/>
    </row>
    <row r="353" spans="1:4" ht="12.75" x14ac:dyDescent="0.2">
      <c r="A353" t="s">
        <v>1025</v>
      </c>
      <c r="B353" t="s">
        <v>1026</v>
      </c>
      <c r="C353"/>
      <c r="D353" s="170"/>
    </row>
    <row r="354" spans="1:4" ht="12.75" x14ac:dyDescent="0.2">
      <c r="A354" t="s">
        <v>1027</v>
      </c>
      <c r="B354" t="s">
        <v>844</v>
      </c>
      <c r="C354"/>
      <c r="D354" s="170"/>
    </row>
    <row r="355" spans="1:4" ht="12.75" x14ac:dyDescent="0.2">
      <c r="A355" t="s">
        <v>1028</v>
      </c>
      <c r="B355" t="s">
        <v>1029</v>
      </c>
      <c r="C355" s="175">
        <v>-3011200</v>
      </c>
      <c r="D355" s="170"/>
    </row>
    <row r="356" spans="1:4" ht="12.75" x14ac:dyDescent="0.2">
      <c r="A356" t="s">
        <v>1030</v>
      </c>
      <c r="B356" t="s">
        <v>845</v>
      </c>
      <c r="C356"/>
      <c r="D356" s="170"/>
    </row>
    <row r="357" spans="1:4" ht="12.75" x14ac:dyDescent="0.2">
      <c r="A357" t="s">
        <v>1031</v>
      </c>
      <c r="B357" t="s">
        <v>846</v>
      </c>
      <c r="C357" s="175">
        <v>-2500000</v>
      </c>
      <c r="D357" s="170"/>
    </row>
    <row r="358" spans="1:4" ht="12.75" x14ac:dyDescent="0.2">
      <c r="A358" t="s">
        <v>1032</v>
      </c>
      <c r="B358" t="s">
        <v>847</v>
      </c>
      <c r="C358" s="175">
        <v>-1061500</v>
      </c>
      <c r="D358" s="170"/>
    </row>
    <row r="359" spans="1:4" ht="12.75" x14ac:dyDescent="0.2">
      <c r="A359" t="s">
        <v>1033</v>
      </c>
      <c r="B359" t="s">
        <v>848</v>
      </c>
      <c r="C359"/>
      <c r="D359" s="170"/>
    </row>
    <row r="360" spans="1:4" ht="12.75" x14ac:dyDescent="0.2">
      <c r="A360" t="s">
        <v>1034</v>
      </c>
      <c r="B360" t="s">
        <v>849</v>
      </c>
      <c r="C360">
        <v>0</v>
      </c>
      <c r="D360" s="170"/>
    </row>
    <row r="361" spans="1:4" ht="12.75" x14ac:dyDescent="0.2">
      <c r="A361" t="s">
        <v>1035</v>
      </c>
      <c r="B361" t="s">
        <v>850</v>
      </c>
      <c r="C361"/>
      <c r="D361" s="170"/>
    </row>
    <row r="362" spans="1:4" ht="12.75" x14ac:dyDescent="0.2">
      <c r="A362" t="s">
        <v>1277</v>
      </c>
      <c r="B362" t="s">
        <v>1278</v>
      </c>
      <c r="C362"/>
      <c r="D362" s="170"/>
    </row>
    <row r="363" spans="1:4" ht="12.75" x14ac:dyDescent="0.2">
      <c r="A363" t="s">
        <v>1036</v>
      </c>
      <c r="B363" t="s">
        <v>1279</v>
      </c>
      <c r="C363"/>
      <c r="D363" s="170"/>
    </row>
    <row r="364" spans="1:4" ht="12.75" x14ac:dyDescent="0.2">
      <c r="A364" t="s">
        <v>1037</v>
      </c>
      <c r="B364" t="s">
        <v>851</v>
      </c>
      <c r="C364"/>
      <c r="D364" s="170"/>
    </row>
    <row r="365" spans="1:4" ht="12.75" x14ac:dyDescent="0.2">
      <c r="A365" t="s">
        <v>1038</v>
      </c>
      <c r="B365" t="s">
        <v>852</v>
      </c>
      <c r="C365"/>
      <c r="D365" s="170"/>
    </row>
    <row r="366" spans="1:4" ht="12.75" x14ac:dyDescent="0.2">
      <c r="A366" t="s">
        <v>1039</v>
      </c>
      <c r="B366" t="s">
        <v>853</v>
      </c>
      <c r="C366"/>
      <c r="D366" s="170"/>
    </row>
    <row r="367" spans="1:4" ht="12.75" x14ac:dyDescent="0.2">
      <c r="A367" t="s">
        <v>1040</v>
      </c>
      <c r="B367" t="s">
        <v>854</v>
      </c>
      <c r="C367"/>
      <c r="D367" s="170"/>
    </row>
    <row r="368" spans="1:4" ht="12.75" x14ac:dyDescent="0.2">
      <c r="A368" t="s">
        <v>1041</v>
      </c>
      <c r="B368" t="s">
        <v>1042</v>
      </c>
      <c r="C368" s="175">
        <v>-77569935.421934679</v>
      </c>
      <c r="D368" s="170"/>
    </row>
    <row r="369" spans="1:4" ht="12.75" x14ac:dyDescent="0.2">
      <c r="A369" t="s">
        <v>1043</v>
      </c>
      <c r="B369" t="s">
        <v>1044</v>
      </c>
      <c r="C369" s="175">
        <v>-2258056.3936208053</v>
      </c>
      <c r="D369" s="170"/>
    </row>
    <row r="370" spans="1:4" ht="12.75" x14ac:dyDescent="0.2">
      <c r="A370" t="s">
        <v>1045</v>
      </c>
      <c r="B370" t="s">
        <v>1046</v>
      </c>
      <c r="C370"/>
      <c r="D370" s="170"/>
    </row>
    <row r="371" spans="1:4" ht="12.75" x14ac:dyDescent="0.2">
      <c r="A371" t="s">
        <v>1047</v>
      </c>
      <c r="B371" t="s">
        <v>855</v>
      </c>
      <c r="C371"/>
      <c r="D371" s="170"/>
    </row>
    <row r="372" spans="1:4" ht="12.75" x14ac:dyDescent="0.2">
      <c r="A372" t="s">
        <v>1048</v>
      </c>
      <c r="B372" t="s">
        <v>1049</v>
      </c>
      <c r="C372" s="175">
        <v>-12844732.115087114</v>
      </c>
      <c r="D372" s="170"/>
    </row>
    <row r="373" spans="1:4" ht="12.75" x14ac:dyDescent="0.2">
      <c r="A373" t="s">
        <v>1050</v>
      </c>
      <c r="B373" t="s">
        <v>735</v>
      </c>
      <c r="C373" s="175">
        <v>-84497.628011700828</v>
      </c>
      <c r="D373" s="170"/>
    </row>
    <row r="374" spans="1:4" ht="12.75" x14ac:dyDescent="0.2">
      <c r="A374" t="s">
        <v>736</v>
      </c>
      <c r="B374" t="s">
        <v>737</v>
      </c>
      <c r="C374"/>
      <c r="D374" s="170"/>
    </row>
    <row r="375" spans="1:4" ht="12.75" x14ac:dyDescent="0.2">
      <c r="A375" t="s">
        <v>738</v>
      </c>
      <c r="B375" t="s">
        <v>859</v>
      </c>
      <c r="C375"/>
      <c r="D375" s="170"/>
    </row>
    <row r="376" spans="1:4" ht="12.75" x14ac:dyDescent="0.2">
      <c r="A376" t="s">
        <v>739</v>
      </c>
      <c r="B376" t="s">
        <v>740</v>
      </c>
      <c r="C376" s="175">
        <v>-109549054.30505455</v>
      </c>
      <c r="D376" s="170"/>
    </row>
    <row r="377" spans="1:4" ht="12.75" x14ac:dyDescent="0.2">
      <c r="A377" t="s">
        <v>741</v>
      </c>
      <c r="B377" t="s">
        <v>742</v>
      </c>
      <c r="C377" s="175">
        <v>-4752858.4478220241</v>
      </c>
      <c r="D377" s="170"/>
    </row>
    <row r="378" spans="1:4" ht="12.75" x14ac:dyDescent="0.2">
      <c r="A378" t="s">
        <v>743</v>
      </c>
      <c r="B378" t="s">
        <v>744</v>
      </c>
      <c r="C378" s="175">
        <v>-83091.386514270416</v>
      </c>
      <c r="D378" s="170"/>
    </row>
    <row r="379" spans="1:4" ht="12.75" x14ac:dyDescent="0.2">
      <c r="A379" t="s">
        <v>745</v>
      </c>
      <c r="B379" t="s">
        <v>860</v>
      </c>
      <c r="C379"/>
      <c r="D379" s="170"/>
    </row>
    <row r="380" spans="1:4" ht="12.75" x14ac:dyDescent="0.2">
      <c r="A380" t="s">
        <v>746</v>
      </c>
      <c r="B380" t="s">
        <v>861</v>
      </c>
      <c r="C380"/>
      <c r="D380" s="170"/>
    </row>
    <row r="381" spans="1:4" ht="12.75" x14ac:dyDescent="0.2">
      <c r="A381" t="s">
        <v>747</v>
      </c>
      <c r="B381" t="s">
        <v>748</v>
      </c>
      <c r="C381" s="175">
        <v>-2302537.4236832256</v>
      </c>
      <c r="D381" s="170"/>
    </row>
    <row r="382" spans="1:4" ht="12.75" x14ac:dyDescent="0.2">
      <c r="A382" t="s">
        <v>749</v>
      </c>
      <c r="B382" t="s">
        <v>750</v>
      </c>
      <c r="C382" s="175">
        <v>-191480.36533219594</v>
      </c>
      <c r="D382" s="170"/>
    </row>
    <row r="383" spans="1:4" ht="12.75" x14ac:dyDescent="0.2">
      <c r="A383" t="s">
        <v>751</v>
      </c>
      <c r="B383" t="s">
        <v>752</v>
      </c>
      <c r="C383"/>
      <c r="D383" s="170"/>
    </row>
    <row r="384" spans="1:4" ht="12.75" x14ac:dyDescent="0.2">
      <c r="A384" t="s">
        <v>753</v>
      </c>
      <c r="B384" t="s">
        <v>862</v>
      </c>
      <c r="C384"/>
      <c r="D384" s="170"/>
    </row>
    <row r="385" spans="1:4" ht="12.75" x14ac:dyDescent="0.2">
      <c r="A385" t="s">
        <v>754</v>
      </c>
      <c r="B385" t="s">
        <v>755</v>
      </c>
      <c r="C385"/>
      <c r="D385" s="170"/>
    </row>
    <row r="386" spans="1:4" ht="12.75" x14ac:dyDescent="0.2">
      <c r="A386" t="s">
        <v>756</v>
      </c>
      <c r="B386" t="s">
        <v>757</v>
      </c>
      <c r="C386"/>
      <c r="D386" s="170"/>
    </row>
    <row r="387" spans="1:4" ht="12.75" x14ac:dyDescent="0.2">
      <c r="A387" t="s">
        <v>758</v>
      </c>
      <c r="B387" t="s">
        <v>759</v>
      </c>
      <c r="C387"/>
      <c r="D387" s="170"/>
    </row>
    <row r="388" spans="1:4" ht="12.75" x14ac:dyDescent="0.2">
      <c r="A388" t="s">
        <v>760</v>
      </c>
      <c r="B388" t="s">
        <v>863</v>
      </c>
      <c r="C388"/>
      <c r="D388" s="170"/>
    </row>
    <row r="389" spans="1:4" ht="12.75" x14ac:dyDescent="0.2">
      <c r="A389" t="s">
        <v>761</v>
      </c>
      <c r="B389" t="s">
        <v>864</v>
      </c>
      <c r="C389"/>
      <c r="D389" s="170"/>
    </row>
    <row r="390" spans="1:4" ht="12.75" x14ac:dyDescent="0.2">
      <c r="A390" t="s">
        <v>762</v>
      </c>
      <c r="B390" t="s">
        <v>763</v>
      </c>
      <c r="C390" s="175">
        <v>-473963.00906280213</v>
      </c>
      <c r="D390" s="170"/>
    </row>
    <row r="391" spans="1:4" ht="12.75" x14ac:dyDescent="0.2">
      <c r="A391" t="s">
        <v>764</v>
      </c>
      <c r="B391" t="s">
        <v>765</v>
      </c>
      <c r="C391" s="175">
        <v>-167065.62470077039</v>
      </c>
      <c r="D391" s="170"/>
    </row>
    <row r="392" spans="1:4" ht="12.75" x14ac:dyDescent="0.2">
      <c r="A392" t="s">
        <v>766</v>
      </c>
      <c r="B392" t="s">
        <v>767</v>
      </c>
      <c r="C392"/>
      <c r="D392" s="170"/>
    </row>
    <row r="393" spans="1:4" ht="12.75" x14ac:dyDescent="0.2">
      <c r="A393" t="s">
        <v>768</v>
      </c>
      <c r="B393" t="s">
        <v>865</v>
      </c>
      <c r="C393"/>
      <c r="D393" s="170"/>
    </row>
    <row r="394" spans="1:4" ht="12.75" x14ac:dyDescent="0.2">
      <c r="A394" t="s">
        <v>769</v>
      </c>
      <c r="B394" t="s">
        <v>770</v>
      </c>
      <c r="C394" s="175">
        <v>-24955180.023479406</v>
      </c>
      <c r="D394" s="170"/>
    </row>
    <row r="395" spans="1:4" ht="12.75" x14ac:dyDescent="0.2">
      <c r="A395" t="s">
        <v>771</v>
      </c>
      <c r="B395" t="s">
        <v>772</v>
      </c>
      <c r="C395" s="175">
        <v>-5198619.9028752185</v>
      </c>
      <c r="D395" s="170"/>
    </row>
    <row r="396" spans="1:4" ht="12.75" x14ac:dyDescent="0.2">
      <c r="A396" t="s">
        <v>773</v>
      </c>
      <c r="B396" t="s">
        <v>776</v>
      </c>
      <c r="C396"/>
      <c r="D396" s="170"/>
    </row>
    <row r="397" spans="1:4" ht="12.75" x14ac:dyDescent="0.2">
      <c r="A397" t="s">
        <v>777</v>
      </c>
      <c r="B397" t="s">
        <v>866</v>
      </c>
      <c r="C397"/>
      <c r="D397" s="170"/>
    </row>
    <row r="398" spans="1:4" ht="12.75" x14ac:dyDescent="0.2">
      <c r="A398" t="s">
        <v>778</v>
      </c>
      <c r="B398" t="s">
        <v>867</v>
      </c>
      <c r="C398"/>
      <c r="D398" s="170"/>
    </row>
    <row r="399" spans="1:4" ht="12.75" x14ac:dyDescent="0.2">
      <c r="A399" t="s">
        <v>779</v>
      </c>
      <c r="B399" t="s">
        <v>780</v>
      </c>
      <c r="C399" s="175">
        <v>-1804108.2703988852</v>
      </c>
      <c r="D399" s="170"/>
    </row>
    <row r="400" spans="1:4" ht="12.75" x14ac:dyDescent="0.2">
      <c r="A400" t="s">
        <v>781</v>
      </c>
      <c r="B400" t="s">
        <v>782</v>
      </c>
      <c r="C400" s="175">
        <v>-129464.35948876241</v>
      </c>
      <c r="D400" s="170"/>
    </row>
    <row r="401" spans="1:4" ht="12.75" x14ac:dyDescent="0.2">
      <c r="A401" t="s">
        <v>783</v>
      </c>
      <c r="B401" t="s">
        <v>784</v>
      </c>
      <c r="C401"/>
      <c r="D401" s="170"/>
    </row>
    <row r="402" spans="1:4" ht="12.75" x14ac:dyDescent="0.2">
      <c r="A402" t="s">
        <v>785</v>
      </c>
      <c r="B402" t="s">
        <v>868</v>
      </c>
      <c r="C402"/>
      <c r="D402" s="170"/>
    </row>
    <row r="403" spans="1:4" ht="12.75" x14ac:dyDescent="0.2">
      <c r="A403" t="s">
        <v>786</v>
      </c>
      <c r="B403" t="s">
        <v>787</v>
      </c>
      <c r="C403" s="175">
        <v>-17311298.101478022</v>
      </c>
      <c r="D403" s="170"/>
    </row>
    <row r="404" spans="1:4" ht="12.75" x14ac:dyDescent="0.2">
      <c r="A404" t="s">
        <v>788</v>
      </c>
      <c r="B404" t="s">
        <v>789</v>
      </c>
      <c r="C404" s="175">
        <v>-8867.0143393550316</v>
      </c>
      <c r="D404" s="170"/>
    </row>
    <row r="405" spans="1:4" ht="12.75" x14ac:dyDescent="0.2">
      <c r="A405" t="s">
        <v>790</v>
      </c>
      <c r="B405" t="s">
        <v>791</v>
      </c>
      <c r="C405"/>
      <c r="D405" s="170"/>
    </row>
    <row r="406" spans="1:4" ht="12.75" x14ac:dyDescent="0.2">
      <c r="A406" t="s">
        <v>792</v>
      </c>
      <c r="B406" t="s">
        <v>869</v>
      </c>
      <c r="C406"/>
      <c r="D406" s="170"/>
    </row>
    <row r="407" spans="1:4" ht="12.75" x14ac:dyDescent="0.2">
      <c r="A407" t="s">
        <v>793</v>
      </c>
      <c r="B407" t="s">
        <v>794</v>
      </c>
      <c r="C407" s="175">
        <v>-17975755.82</v>
      </c>
      <c r="D407" s="170"/>
    </row>
    <row r="408" spans="1:4" ht="12.75" x14ac:dyDescent="0.2">
      <c r="A408" t="s">
        <v>795</v>
      </c>
      <c r="B408" t="s">
        <v>870</v>
      </c>
      <c r="C408"/>
      <c r="D408" s="170"/>
    </row>
    <row r="409" spans="1:4" ht="12.75" x14ac:dyDescent="0.2">
      <c r="A409" t="s">
        <v>796</v>
      </c>
      <c r="B409" t="s">
        <v>871</v>
      </c>
      <c r="C409"/>
      <c r="D409" s="170"/>
    </row>
    <row r="410" spans="1:4" ht="12.75" x14ac:dyDescent="0.2">
      <c r="A410" t="s">
        <v>797</v>
      </c>
      <c r="B410" t="s">
        <v>872</v>
      </c>
      <c r="C410" s="175">
        <v>-496904</v>
      </c>
      <c r="D410" s="170"/>
    </row>
    <row r="411" spans="1:4" ht="12.75" x14ac:dyDescent="0.2">
      <c r="A411" t="s">
        <v>798</v>
      </c>
      <c r="B411" t="s">
        <v>873</v>
      </c>
      <c r="C411" s="175">
        <v>-1231567</v>
      </c>
      <c r="D411" s="170"/>
    </row>
    <row r="412" spans="1:4" ht="12.75" x14ac:dyDescent="0.2">
      <c r="A412" t="s">
        <v>1280</v>
      </c>
      <c r="B412" t="s">
        <v>1281</v>
      </c>
      <c r="C412"/>
      <c r="D412" s="170"/>
    </row>
    <row r="413" spans="1:4" ht="12.75" x14ac:dyDescent="0.2">
      <c r="A413" t="s">
        <v>1282</v>
      </c>
      <c r="B413" t="s">
        <v>1283</v>
      </c>
      <c r="C413"/>
      <c r="D413" s="170"/>
    </row>
    <row r="414" spans="1:4" ht="12.75" x14ac:dyDescent="0.2">
      <c r="A414" t="s">
        <v>799</v>
      </c>
      <c r="B414" t="s">
        <v>800</v>
      </c>
      <c r="C414"/>
      <c r="D414" s="170"/>
    </row>
    <row r="415" spans="1:4" ht="12.75" x14ac:dyDescent="0.2">
      <c r="A415" t="s">
        <v>801</v>
      </c>
      <c r="B415" t="s">
        <v>874</v>
      </c>
      <c r="C415" s="175">
        <v>-2000000</v>
      </c>
      <c r="D415" s="170"/>
    </row>
    <row r="416" spans="1:4" ht="12.75" x14ac:dyDescent="0.2">
      <c r="A416" t="s">
        <v>802</v>
      </c>
      <c r="B416" t="s">
        <v>803</v>
      </c>
      <c r="C416"/>
      <c r="D416" s="170"/>
    </row>
    <row r="417" spans="1:4" ht="12.75" x14ac:dyDescent="0.2">
      <c r="A417" t="s">
        <v>804</v>
      </c>
      <c r="B417" t="s">
        <v>1362</v>
      </c>
      <c r="C417"/>
      <c r="D417" s="170"/>
    </row>
    <row r="418" spans="1:4" ht="12.75" x14ac:dyDescent="0.2">
      <c r="A418" t="s">
        <v>806</v>
      </c>
      <c r="B418" t="s">
        <v>1363</v>
      </c>
      <c r="C418" s="175">
        <v>-461776</v>
      </c>
      <c r="D418" s="170"/>
    </row>
    <row r="419" spans="1:4" ht="12.75" x14ac:dyDescent="0.2">
      <c r="A419" t="s">
        <v>808</v>
      </c>
      <c r="B419" t="s">
        <v>1364</v>
      </c>
      <c r="C419" s="175">
        <v>-9000000</v>
      </c>
      <c r="D419" s="170"/>
    </row>
    <row r="420" spans="1:4" ht="12.75" x14ac:dyDescent="0.2">
      <c r="A420" t="s">
        <v>810</v>
      </c>
      <c r="B420" t="s">
        <v>1365</v>
      </c>
      <c r="C420" s="175">
        <v>-6310000</v>
      </c>
      <c r="D420" s="170"/>
    </row>
    <row r="421" spans="1:4" ht="12.75" x14ac:dyDescent="0.2">
      <c r="A421" t="s">
        <v>812</v>
      </c>
      <c r="B421" t="s">
        <v>1366</v>
      </c>
      <c r="C421"/>
      <c r="D421" s="170"/>
    </row>
    <row r="422" spans="1:4" ht="12.75" x14ac:dyDescent="0.2">
      <c r="A422" t="s">
        <v>814</v>
      </c>
      <c r="B422" t="s">
        <v>1367</v>
      </c>
      <c r="C422"/>
      <c r="D422" s="170"/>
    </row>
    <row r="423" spans="1:4" ht="12.75" x14ac:dyDescent="0.2">
      <c r="A423" t="s">
        <v>816</v>
      </c>
      <c r="B423" t="s">
        <v>1368</v>
      </c>
      <c r="C423" s="175">
        <v>-500000</v>
      </c>
      <c r="D423" s="170"/>
    </row>
    <row r="424" spans="1:4" ht="12.75" x14ac:dyDescent="0.2">
      <c r="A424" t="s">
        <v>818</v>
      </c>
      <c r="B424" t="s">
        <v>1369</v>
      </c>
      <c r="C424"/>
      <c r="D424" s="170"/>
    </row>
    <row r="425" spans="1:4" ht="12.75" x14ac:dyDescent="0.2">
      <c r="A425" t="s">
        <v>820</v>
      </c>
      <c r="B425" t="s">
        <v>1284</v>
      </c>
      <c r="C425"/>
      <c r="D425" s="170"/>
    </row>
    <row r="426" spans="1:4" ht="12.75" x14ac:dyDescent="0.2">
      <c r="A426" t="s">
        <v>1285</v>
      </c>
      <c r="B426" t="s">
        <v>1286</v>
      </c>
      <c r="C426"/>
      <c r="D426" s="170"/>
    </row>
    <row r="427" spans="1:4" ht="12.75" x14ac:dyDescent="0.2">
      <c r="A427" t="s">
        <v>1287</v>
      </c>
      <c r="B427" t="s">
        <v>1288</v>
      </c>
      <c r="C427"/>
      <c r="D427" s="170"/>
    </row>
    <row r="428" spans="1:4" ht="12.75" x14ac:dyDescent="0.2">
      <c r="A428" t="s">
        <v>1289</v>
      </c>
      <c r="B428" t="s">
        <v>1290</v>
      </c>
      <c r="C428"/>
      <c r="D428" s="170"/>
    </row>
    <row r="429" spans="1:4" ht="12.75" x14ac:dyDescent="0.2">
      <c r="A429" t="s">
        <v>1291</v>
      </c>
      <c r="B429" t="s">
        <v>1292</v>
      </c>
      <c r="C429"/>
      <c r="D429" s="170"/>
    </row>
    <row r="430" spans="1:4" ht="12.75" x14ac:dyDescent="0.2">
      <c r="A430" t="s">
        <v>1293</v>
      </c>
      <c r="B430" t="s">
        <v>1294</v>
      </c>
      <c r="C430"/>
      <c r="D430" s="170"/>
    </row>
    <row r="431" spans="1:4" ht="12.75" x14ac:dyDescent="0.2">
      <c r="A431" t="s">
        <v>1295</v>
      </c>
      <c r="B431" t="s">
        <v>1296</v>
      </c>
      <c r="C431"/>
      <c r="D431" s="170"/>
    </row>
    <row r="432" spans="1:4" ht="12.75" x14ac:dyDescent="0.2">
      <c r="A432" t="s">
        <v>1297</v>
      </c>
      <c r="B432" t="s">
        <v>1298</v>
      </c>
      <c r="C432"/>
      <c r="D432" s="170"/>
    </row>
    <row r="433" spans="1:4" ht="12.75" x14ac:dyDescent="0.2">
      <c r="A433" t="s">
        <v>1299</v>
      </c>
      <c r="B433" t="s">
        <v>1300</v>
      </c>
      <c r="C433"/>
      <c r="D433" s="170"/>
    </row>
    <row r="434" spans="1:4" ht="12.75" x14ac:dyDescent="0.2">
      <c r="A434" t="s">
        <v>821</v>
      </c>
      <c r="B434" t="s">
        <v>1301</v>
      </c>
      <c r="C434"/>
      <c r="D434" s="170"/>
    </row>
    <row r="435" spans="1:4" ht="12.75" x14ac:dyDescent="0.2">
      <c r="A435" t="s">
        <v>1302</v>
      </c>
      <c r="B435" t="s">
        <v>1303</v>
      </c>
      <c r="C435"/>
      <c r="D435" s="170"/>
    </row>
    <row r="436" spans="1:4" ht="12.75" x14ac:dyDescent="0.2">
      <c r="A436" t="s">
        <v>1304</v>
      </c>
      <c r="B436" t="s">
        <v>1305</v>
      </c>
      <c r="C436"/>
      <c r="D436" s="170"/>
    </row>
    <row r="437" spans="1:4" ht="12.75" x14ac:dyDescent="0.2">
      <c r="A437" t="s">
        <v>1306</v>
      </c>
      <c r="B437" t="s">
        <v>1307</v>
      </c>
      <c r="C437"/>
      <c r="D437" s="170"/>
    </row>
    <row r="438" spans="1:4" ht="12.75" x14ac:dyDescent="0.2">
      <c r="A438" t="s">
        <v>1308</v>
      </c>
      <c r="B438" t="s">
        <v>1309</v>
      </c>
      <c r="C438"/>
      <c r="D438" s="170"/>
    </row>
    <row r="439" spans="1:4" ht="12.75" x14ac:dyDescent="0.2">
      <c r="A439" t="s">
        <v>1310</v>
      </c>
      <c r="B439" t="s">
        <v>1311</v>
      </c>
      <c r="C439"/>
      <c r="D439" s="170"/>
    </row>
    <row r="440" spans="1:4" ht="12.75" x14ac:dyDescent="0.2">
      <c r="A440" t="s">
        <v>1312</v>
      </c>
      <c r="B440" t="s">
        <v>1313</v>
      </c>
      <c r="C440"/>
      <c r="D440" s="170"/>
    </row>
    <row r="441" spans="1:4" ht="12.75" x14ac:dyDescent="0.2">
      <c r="A441" t="s">
        <v>829</v>
      </c>
      <c r="B441" t="s">
        <v>1370</v>
      </c>
      <c r="C441"/>
      <c r="D441" s="170"/>
    </row>
    <row r="442" spans="1:4" ht="12.75" x14ac:dyDescent="0.2">
      <c r="A442" t="s">
        <v>831</v>
      </c>
      <c r="B442" t="s">
        <v>1371</v>
      </c>
      <c r="C442"/>
      <c r="D442" s="170"/>
    </row>
    <row r="443" spans="1:4" ht="12.75" x14ac:dyDescent="0.2">
      <c r="A443" t="s">
        <v>833</v>
      </c>
      <c r="B443" t="s">
        <v>1314</v>
      </c>
      <c r="C443" s="175">
        <v>-350000</v>
      </c>
      <c r="D443" s="170"/>
    </row>
    <row r="444" spans="1:4" ht="12.75" x14ac:dyDescent="0.2">
      <c r="A444" t="s">
        <v>834</v>
      </c>
      <c r="B444" t="s">
        <v>1315</v>
      </c>
      <c r="C444" s="175">
        <v>-250000</v>
      </c>
      <c r="D444" s="170"/>
    </row>
    <row r="445" spans="1:4" ht="12.75" x14ac:dyDescent="0.2">
      <c r="A445" t="s">
        <v>835</v>
      </c>
      <c r="B445" t="s">
        <v>1316</v>
      </c>
      <c r="C445"/>
      <c r="D445" s="170"/>
    </row>
    <row r="446" spans="1:4" ht="12.75" x14ac:dyDescent="0.2">
      <c r="A446" t="s">
        <v>836</v>
      </c>
      <c r="B446" t="s">
        <v>1317</v>
      </c>
      <c r="C446" s="175">
        <v>-737877</v>
      </c>
      <c r="D446" s="170"/>
    </row>
    <row r="447" spans="1:4" ht="12.75" x14ac:dyDescent="0.2">
      <c r="A447" t="s">
        <v>1318</v>
      </c>
      <c r="B447" t="s">
        <v>1319</v>
      </c>
      <c r="C447"/>
      <c r="D447" s="170"/>
    </row>
    <row r="448" spans="1:4" ht="12.75" x14ac:dyDescent="0.2">
      <c r="A448" t="s">
        <v>1070</v>
      </c>
      <c r="B448" t="s">
        <v>1320</v>
      </c>
      <c r="C448">
        <v>0</v>
      </c>
      <c r="D448" s="170"/>
    </row>
    <row r="449" spans="1:4" ht="12.75" x14ac:dyDescent="0.2">
      <c r="A449" t="s">
        <v>1321</v>
      </c>
      <c r="B449" t="s">
        <v>1322</v>
      </c>
      <c r="C449" s="175">
        <v>-100000</v>
      </c>
      <c r="D449" s="170"/>
    </row>
    <row r="450" spans="1:4" ht="12.75" x14ac:dyDescent="0.2">
      <c r="A450" t="s">
        <v>1071</v>
      </c>
      <c r="B450" t="s">
        <v>1372</v>
      </c>
      <c r="C450" s="175">
        <v>-998963</v>
      </c>
      <c r="D450" s="170"/>
    </row>
    <row r="451" spans="1:4" ht="12.75" x14ac:dyDescent="0.2">
      <c r="A451" t="s">
        <v>1073</v>
      </c>
      <c r="B451" t="s">
        <v>1373</v>
      </c>
      <c r="C451"/>
      <c r="D451" s="170"/>
    </row>
    <row r="452" spans="1:4" ht="12.75" x14ac:dyDescent="0.2">
      <c r="A452" t="s">
        <v>1323</v>
      </c>
      <c r="B452" t="s">
        <v>1324</v>
      </c>
      <c r="C452" s="175">
        <v>-962969</v>
      </c>
      <c r="D452" s="170"/>
    </row>
    <row r="453" spans="1:4" ht="12.75" x14ac:dyDescent="0.2">
      <c r="A453" t="s">
        <v>1075</v>
      </c>
      <c r="B453" t="s">
        <v>1325</v>
      </c>
      <c r="C453" s="175">
        <v>-101198</v>
      </c>
      <c r="D453" s="170"/>
    </row>
    <row r="454" spans="1:4" ht="12.75" x14ac:dyDescent="0.2">
      <c r="A454" t="s">
        <v>1076</v>
      </c>
      <c r="B454" t="s">
        <v>1326</v>
      </c>
      <c r="C454" s="175">
        <v>-1513615</v>
      </c>
      <c r="D454" s="170"/>
    </row>
    <row r="455" spans="1:4" ht="12.75" x14ac:dyDescent="0.2">
      <c r="A455" t="s">
        <v>1077</v>
      </c>
      <c r="B455" t="s">
        <v>1327</v>
      </c>
      <c r="C455" s="175">
        <v>-166068</v>
      </c>
      <c r="D455" s="170"/>
    </row>
    <row r="456" spans="1:4" ht="12.75" x14ac:dyDescent="0.2">
      <c r="A456" t="s">
        <v>1078</v>
      </c>
      <c r="B456" t="s">
        <v>1328</v>
      </c>
      <c r="C456"/>
      <c r="D456" s="170"/>
    </row>
    <row r="457" spans="1:4" ht="12.75" x14ac:dyDescent="0.2">
      <c r="A457" t="s">
        <v>1329</v>
      </c>
      <c r="B457" t="s">
        <v>1330</v>
      </c>
      <c r="C457"/>
      <c r="D457" s="170"/>
    </row>
    <row r="458" spans="1:4" ht="12.75" x14ac:dyDescent="0.2">
      <c r="A458" t="s">
        <v>1079</v>
      </c>
      <c r="B458" t="s">
        <v>1374</v>
      </c>
      <c r="C458"/>
      <c r="D458" s="170"/>
    </row>
    <row r="459" spans="1:4" ht="12.75" x14ac:dyDescent="0.2">
      <c r="A459" t="s">
        <v>1081</v>
      </c>
      <c r="B459" t="s">
        <v>1331</v>
      </c>
      <c r="C459" s="175">
        <v>-1807731</v>
      </c>
      <c r="D459" s="170"/>
    </row>
    <row r="460" spans="1:4" ht="12.75" x14ac:dyDescent="0.2">
      <c r="A460" t="s">
        <v>1082</v>
      </c>
      <c r="B460" t="s">
        <v>1332</v>
      </c>
      <c r="C460" s="175">
        <v>-289704</v>
      </c>
      <c r="D460" s="170"/>
    </row>
    <row r="461" spans="1:4" ht="12.75" x14ac:dyDescent="0.2">
      <c r="A461" t="s">
        <v>1083</v>
      </c>
      <c r="B461" t="s">
        <v>1333</v>
      </c>
      <c r="C461" s="175">
        <v>-2040276.0428121816</v>
      </c>
      <c r="D461" s="170"/>
    </row>
    <row r="462" spans="1:4" ht="12.75" x14ac:dyDescent="0.2">
      <c r="A462" t="s">
        <v>1084</v>
      </c>
      <c r="B462" t="s">
        <v>1334</v>
      </c>
      <c r="C462" s="175">
        <v>-381234.37583291379</v>
      </c>
      <c r="D462" s="170"/>
    </row>
    <row r="463" spans="1:4" ht="12.75" x14ac:dyDescent="0.2">
      <c r="A463" t="s">
        <v>1085</v>
      </c>
      <c r="B463" t="s">
        <v>1335</v>
      </c>
      <c r="C463" s="175">
        <v>-3442848.4913549018</v>
      </c>
      <c r="D463" s="170"/>
    </row>
    <row r="464" spans="1:4" ht="12.75" x14ac:dyDescent="0.2">
      <c r="A464" t="s">
        <v>1336</v>
      </c>
      <c r="B464" t="s">
        <v>1337</v>
      </c>
      <c r="C464"/>
      <c r="D464" s="170"/>
    </row>
    <row r="465" spans="1:4" ht="12.75" x14ac:dyDescent="0.2">
      <c r="A465" t="s">
        <v>1338</v>
      </c>
      <c r="B465" t="s">
        <v>1339</v>
      </c>
      <c r="C465"/>
      <c r="D465" s="170"/>
    </row>
    <row r="466" spans="1:4" ht="12.75" x14ac:dyDescent="0.2">
      <c r="A466" t="s">
        <v>1340</v>
      </c>
      <c r="B466" t="s">
        <v>1341</v>
      </c>
      <c r="C466"/>
      <c r="D466" s="170"/>
    </row>
    <row r="467" spans="1:4" ht="12.75" x14ac:dyDescent="0.2">
      <c r="A467" t="s">
        <v>1342</v>
      </c>
      <c r="B467" t="s">
        <v>1343</v>
      </c>
      <c r="C467" s="175">
        <v>-200000</v>
      </c>
      <c r="D467" s="170"/>
    </row>
    <row r="468" spans="1:4" ht="12.75" x14ac:dyDescent="0.2">
      <c r="A468" t="s">
        <v>1086</v>
      </c>
      <c r="B468" t="s">
        <v>1344</v>
      </c>
      <c r="C468" s="175">
        <v>-1904520</v>
      </c>
      <c r="D468" s="170"/>
    </row>
    <row r="469" spans="1:4" ht="12.75" x14ac:dyDescent="0.2">
      <c r="A469" t="s">
        <v>1087</v>
      </c>
      <c r="B469" t="s">
        <v>875</v>
      </c>
      <c r="C469"/>
      <c r="D469" s="170"/>
    </row>
    <row r="470" spans="1:4" ht="12.75" x14ac:dyDescent="0.2">
      <c r="A470" t="s">
        <v>825</v>
      </c>
      <c r="B470" t="s">
        <v>876</v>
      </c>
      <c r="C470"/>
      <c r="D470" s="170"/>
    </row>
    <row r="471" spans="1:4" ht="12.75" x14ac:dyDescent="0.2">
      <c r="A471" t="s">
        <v>1088</v>
      </c>
      <c r="B471" t="s">
        <v>877</v>
      </c>
      <c r="C471"/>
      <c r="D471" s="170"/>
    </row>
    <row r="472" spans="1:4" ht="12.75" x14ac:dyDescent="0.2">
      <c r="A472" t="s">
        <v>1089</v>
      </c>
      <c r="B472" t="s">
        <v>1090</v>
      </c>
      <c r="C472"/>
      <c r="D472" s="170"/>
    </row>
    <row r="473" spans="1:4" ht="12.75" x14ac:dyDescent="0.2">
      <c r="A473" t="s">
        <v>1091</v>
      </c>
      <c r="B473" t="s">
        <v>878</v>
      </c>
      <c r="C473"/>
      <c r="D473" s="170"/>
    </row>
    <row r="474" spans="1:4" ht="12.75" x14ac:dyDescent="0.2">
      <c r="A474" t="s">
        <v>1092</v>
      </c>
      <c r="B474" t="s">
        <v>879</v>
      </c>
      <c r="C474"/>
      <c r="D474" s="170"/>
    </row>
    <row r="475" spans="1:4" ht="12.75" x14ac:dyDescent="0.2">
      <c r="A475" t="s">
        <v>1093</v>
      </c>
      <c r="B475" t="s">
        <v>880</v>
      </c>
      <c r="C475"/>
      <c r="D475" s="170"/>
    </row>
    <row r="476" spans="1:4" ht="12.75" x14ac:dyDescent="0.2">
      <c r="A476" t="s">
        <v>1094</v>
      </c>
      <c r="B476" t="s">
        <v>881</v>
      </c>
      <c r="C476"/>
      <c r="D476" s="170"/>
    </row>
    <row r="477" spans="1:4" ht="12.75" x14ac:dyDescent="0.2">
      <c r="A477" t="s">
        <v>1095</v>
      </c>
      <c r="B477" t="s">
        <v>882</v>
      </c>
      <c r="C477"/>
      <c r="D477" s="170"/>
    </row>
    <row r="478" spans="1:4" ht="12.75" x14ac:dyDescent="0.2">
      <c r="A478" t="s">
        <v>1096</v>
      </c>
      <c r="B478" t="s">
        <v>883</v>
      </c>
      <c r="C478"/>
      <c r="D478" s="170"/>
    </row>
    <row r="479" spans="1:4" ht="12.75" x14ac:dyDescent="0.2">
      <c r="A479" t="s">
        <v>1097</v>
      </c>
      <c r="B479" t="s">
        <v>884</v>
      </c>
      <c r="C479"/>
      <c r="D479" s="170"/>
    </row>
    <row r="480" spans="1:4" ht="12.75" x14ac:dyDescent="0.2">
      <c r="A480" t="s">
        <v>1098</v>
      </c>
      <c r="B480" t="s">
        <v>885</v>
      </c>
      <c r="C480"/>
      <c r="D480" s="170"/>
    </row>
    <row r="481" spans="1:4" ht="12.75" x14ac:dyDescent="0.2">
      <c r="A481" t="s">
        <v>1099</v>
      </c>
      <c r="B481" t="s">
        <v>886</v>
      </c>
      <c r="C481"/>
      <c r="D481" s="170"/>
    </row>
    <row r="482" spans="1:4" ht="12.75" x14ac:dyDescent="0.2">
      <c r="A482" t="s">
        <v>1100</v>
      </c>
      <c r="B482" t="s">
        <v>1101</v>
      </c>
      <c r="C482" s="175">
        <v>-80000</v>
      </c>
      <c r="D482" s="170"/>
    </row>
    <row r="483" spans="1:4" ht="12.75" x14ac:dyDescent="0.2">
      <c r="A483" t="s">
        <v>1102</v>
      </c>
      <c r="B483" t="s">
        <v>887</v>
      </c>
      <c r="C483" s="175">
        <v>-1265600</v>
      </c>
      <c r="D483" s="170"/>
    </row>
    <row r="484" spans="1:4" ht="12.75" x14ac:dyDescent="0.2">
      <c r="A484" t="s">
        <v>1103</v>
      </c>
      <c r="B484" t="s">
        <v>888</v>
      </c>
      <c r="C484"/>
      <c r="D484" s="170"/>
    </row>
    <row r="485" spans="1:4" ht="12.75" x14ac:dyDescent="0.2">
      <c r="A485" t="s">
        <v>1104</v>
      </c>
      <c r="B485" t="s">
        <v>1105</v>
      </c>
      <c r="C485"/>
      <c r="D485" s="170"/>
    </row>
    <row r="486" spans="1:4" ht="12.75" x14ac:dyDescent="0.2">
      <c r="A486" t="s">
        <v>1106</v>
      </c>
      <c r="B486" t="s">
        <v>889</v>
      </c>
      <c r="C486" s="175">
        <v>-70000</v>
      </c>
      <c r="D486" s="170"/>
    </row>
    <row r="487" spans="1:4" ht="12.75" x14ac:dyDescent="0.2">
      <c r="A487" t="s">
        <v>1107</v>
      </c>
      <c r="B487" t="s">
        <v>890</v>
      </c>
      <c r="C487"/>
      <c r="D487" s="170"/>
    </row>
    <row r="488" spans="1:4" ht="12.75" x14ac:dyDescent="0.2">
      <c r="A488" t="s">
        <v>1108</v>
      </c>
      <c r="B488" t="s">
        <v>891</v>
      </c>
      <c r="C488"/>
      <c r="D488" s="170"/>
    </row>
    <row r="489" spans="1:4" ht="12.75" x14ac:dyDescent="0.2">
      <c r="A489" t="s">
        <v>826</v>
      </c>
      <c r="B489" t="s">
        <v>892</v>
      </c>
      <c r="C489"/>
      <c r="D489" s="170"/>
    </row>
    <row r="490" spans="1:4" ht="12.75" x14ac:dyDescent="0.2">
      <c r="A490" t="s">
        <v>1109</v>
      </c>
      <c r="B490" t="s">
        <v>893</v>
      </c>
      <c r="C490"/>
      <c r="D490" s="170"/>
    </row>
    <row r="491" spans="1:4" ht="12.75" x14ac:dyDescent="0.2">
      <c r="A491" t="s">
        <v>1110</v>
      </c>
      <c r="B491" t="s">
        <v>894</v>
      </c>
      <c r="C491"/>
      <c r="D491" s="170"/>
    </row>
    <row r="492" spans="1:4" ht="12.75" x14ac:dyDescent="0.2">
      <c r="A492" t="s">
        <v>1111</v>
      </c>
      <c r="B492" t="s">
        <v>895</v>
      </c>
      <c r="C492"/>
      <c r="D492" s="170"/>
    </row>
    <row r="493" spans="1:4" ht="12.75" x14ac:dyDescent="0.2">
      <c r="A493" t="s">
        <v>827</v>
      </c>
      <c r="B493" t="s">
        <v>896</v>
      </c>
      <c r="C493"/>
      <c r="D493" s="170"/>
    </row>
    <row r="494" spans="1:4" ht="12.75" x14ac:dyDescent="0.2">
      <c r="A494" t="s">
        <v>1112</v>
      </c>
      <c r="B494" t="s">
        <v>897</v>
      </c>
      <c r="C494"/>
      <c r="D494" s="170"/>
    </row>
    <row r="495" spans="1:4" ht="12.75" x14ac:dyDescent="0.2">
      <c r="A495" t="s">
        <v>1113</v>
      </c>
      <c r="B495" t="s">
        <v>898</v>
      </c>
      <c r="C495"/>
      <c r="D495" s="170"/>
    </row>
    <row r="496" spans="1:4" ht="12.75" x14ac:dyDescent="0.2">
      <c r="A496" t="s">
        <v>1114</v>
      </c>
      <c r="B496" t="s">
        <v>899</v>
      </c>
      <c r="C496"/>
      <c r="D496" s="170"/>
    </row>
    <row r="497" spans="1:4" ht="12.75" x14ac:dyDescent="0.2">
      <c r="A497" t="s">
        <v>1115</v>
      </c>
      <c r="B497" t="s">
        <v>900</v>
      </c>
      <c r="C497" s="175">
        <v>90000</v>
      </c>
      <c r="D497" s="170"/>
    </row>
    <row r="498" spans="1:4" ht="12.75" x14ac:dyDescent="0.2">
      <c r="A498" t="s">
        <v>1116</v>
      </c>
      <c r="B498" t="s">
        <v>901</v>
      </c>
      <c r="C498"/>
      <c r="D498" s="170"/>
    </row>
    <row r="499" spans="1:4" ht="12.75" x14ac:dyDescent="0.2">
      <c r="A499" t="s">
        <v>1345</v>
      </c>
      <c r="B499" t="s">
        <v>1346</v>
      </c>
      <c r="C499"/>
      <c r="D499" s="170"/>
    </row>
    <row r="500" spans="1:4" ht="12.75" x14ac:dyDescent="0.2">
      <c r="A500" t="s">
        <v>1117</v>
      </c>
      <c r="B500" t="s">
        <v>1347</v>
      </c>
      <c r="C500">
        <v>11179.56</v>
      </c>
      <c r="D500" s="170"/>
    </row>
    <row r="501" spans="1:4" ht="12.75" x14ac:dyDescent="0.2">
      <c r="A501" t="s">
        <v>1118</v>
      </c>
      <c r="B501" t="s">
        <v>1348</v>
      </c>
      <c r="C501"/>
      <c r="D501" s="170"/>
    </row>
    <row r="502" spans="1:4" ht="12.75" x14ac:dyDescent="0.2">
      <c r="A502" t="s">
        <v>1119</v>
      </c>
      <c r="B502" t="s">
        <v>1375</v>
      </c>
      <c r="C502"/>
      <c r="D502" s="170"/>
    </row>
    <row r="503" spans="1:4" ht="12.75" x14ac:dyDescent="0.2">
      <c r="A503" t="s">
        <v>1120</v>
      </c>
      <c r="B503" t="s">
        <v>1376</v>
      </c>
      <c r="C503">
        <v>0</v>
      </c>
      <c r="D503" s="170"/>
    </row>
    <row r="504" spans="1:4" ht="12.75" x14ac:dyDescent="0.2">
      <c r="A504" t="s">
        <v>1121</v>
      </c>
      <c r="B504" t="s">
        <v>1377</v>
      </c>
      <c r="C504">
        <v>0</v>
      </c>
      <c r="D504" s="170"/>
    </row>
    <row r="505" spans="1:4" ht="12.75" x14ac:dyDescent="0.2">
      <c r="A505" t="s">
        <v>1122</v>
      </c>
      <c r="B505" t="s">
        <v>1378</v>
      </c>
      <c r="C505">
        <v>0</v>
      </c>
      <c r="D505" s="170"/>
    </row>
    <row r="506" spans="1:4" ht="12.75" x14ac:dyDescent="0.2">
      <c r="A506" t="s">
        <v>1123</v>
      </c>
      <c r="B506" t="s">
        <v>1379</v>
      </c>
      <c r="C506"/>
      <c r="D506" s="170"/>
    </row>
    <row r="507" spans="1:4" ht="12.75" x14ac:dyDescent="0.2">
      <c r="A507" t="s">
        <v>1125</v>
      </c>
      <c r="B507" t="s">
        <v>1380</v>
      </c>
      <c r="C507" s="175">
        <v>300000</v>
      </c>
      <c r="D507" s="170"/>
    </row>
    <row r="508" spans="1:4" ht="12.75" x14ac:dyDescent="0.2">
      <c r="A508" t="s">
        <v>1126</v>
      </c>
      <c r="B508" t="s">
        <v>1381</v>
      </c>
      <c r="C508" s="175">
        <v>0</v>
      </c>
      <c r="D508" s="170"/>
    </row>
    <row r="509" spans="1:4" ht="12.75" x14ac:dyDescent="0.2">
      <c r="A509" t="s">
        <v>1127</v>
      </c>
      <c r="B509" t="s">
        <v>1128</v>
      </c>
      <c r="C509"/>
      <c r="D509" s="170"/>
    </row>
    <row r="510" spans="1:4" ht="12.75" x14ac:dyDescent="0.2">
      <c r="A510" t="s">
        <v>1130</v>
      </c>
      <c r="B510" t="s">
        <v>0</v>
      </c>
      <c r="C510" s="175">
        <v>165441.82999999999</v>
      </c>
      <c r="D510" s="170"/>
    </row>
    <row r="511" spans="1:4" ht="12.75" x14ac:dyDescent="0.2">
      <c r="A511" t="s">
        <v>1</v>
      </c>
      <c r="B511" t="s">
        <v>2</v>
      </c>
      <c r="C511"/>
      <c r="D511" s="170"/>
    </row>
    <row r="512" spans="1:4" ht="12.75" x14ac:dyDescent="0.2">
      <c r="A512" t="s">
        <v>3</v>
      </c>
      <c r="B512" t="s">
        <v>908</v>
      </c>
      <c r="C512"/>
      <c r="D512" s="170"/>
    </row>
    <row r="513" spans="1:4" ht="12.75" x14ac:dyDescent="0.2">
      <c r="A513" t="s">
        <v>4</v>
      </c>
      <c r="B513" t="s">
        <v>909</v>
      </c>
      <c r="C513"/>
      <c r="D513" s="170"/>
    </row>
    <row r="514" spans="1:4" ht="12.75" x14ac:dyDescent="0.2">
      <c r="A514" t="s">
        <v>5</v>
      </c>
      <c r="B514" t="s">
        <v>910</v>
      </c>
      <c r="C514">
        <v>0</v>
      </c>
      <c r="D514" s="170"/>
    </row>
    <row r="515" spans="1:4" ht="12.75" x14ac:dyDescent="0.2">
      <c r="A515" t="s">
        <v>6</v>
      </c>
      <c r="B515" t="s">
        <v>911</v>
      </c>
      <c r="C515" s="175">
        <v>15000</v>
      </c>
      <c r="D515" s="170"/>
    </row>
    <row r="516" spans="1:4" ht="12.75" x14ac:dyDescent="0.2">
      <c r="A516" t="s">
        <v>7</v>
      </c>
      <c r="B516" t="s">
        <v>8</v>
      </c>
      <c r="C516" s="175">
        <v>163320.69</v>
      </c>
      <c r="D516" s="170"/>
    </row>
    <row r="517" spans="1:4" ht="12.75" x14ac:dyDescent="0.2">
      <c r="A517" t="s">
        <v>9</v>
      </c>
      <c r="B517" t="s">
        <v>916</v>
      </c>
      <c r="C517" s="175">
        <v>800000</v>
      </c>
      <c r="D517" s="170"/>
    </row>
    <row r="518" spans="1:4" ht="12.75" x14ac:dyDescent="0.2">
      <c r="A518" t="s">
        <v>10</v>
      </c>
      <c r="B518" t="s">
        <v>11</v>
      </c>
      <c r="C518" s="175">
        <v>600000</v>
      </c>
      <c r="D518" s="170"/>
    </row>
    <row r="519" spans="1:4" ht="12.75" x14ac:dyDescent="0.2">
      <c r="A519" t="s">
        <v>12</v>
      </c>
      <c r="B519" t="s">
        <v>917</v>
      </c>
      <c r="C519"/>
      <c r="D519" s="170"/>
    </row>
    <row r="520" spans="1:4" ht="12.75" x14ac:dyDescent="0.2">
      <c r="A520" t="s">
        <v>13</v>
      </c>
      <c r="B520" t="s">
        <v>918</v>
      </c>
      <c r="C520"/>
      <c r="D520" s="170"/>
    </row>
    <row r="521" spans="1:4" ht="12.75" x14ac:dyDescent="0.2">
      <c r="A521" t="s">
        <v>14</v>
      </c>
      <c r="B521" t="s">
        <v>919</v>
      </c>
      <c r="C521"/>
      <c r="D521" s="170"/>
    </row>
    <row r="522" spans="1:4" ht="12.75" x14ac:dyDescent="0.2">
      <c r="A522" t="s">
        <v>15</v>
      </c>
      <c r="B522" t="s">
        <v>920</v>
      </c>
      <c r="C522"/>
      <c r="D522" s="170"/>
    </row>
    <row r="523" spans="1:4" ht="12.75" x14ac:dyDescent="0.2">
      <c r="A523" t="s">
        <v>16</v>
      </c>
      <c r="B523" t="s">
        <v>921</v>
      </c>
      <c r="C523"/>
      <c r="D523" s="170"/>
    </row>
    <row r="524" spans="1:4" ht="12.75" x14ac:dyDescent="0.2">
      <c r="A524" t="s">
        <v>17</v>
      </c>
      <c r="B524" t="s">
        <v>18</v>
      </c>
      <c r="C524" s="175">
        <v>-70000</v>
      </c>
      <c r="D524" s="170"/>
    </row>
    <row r="525" spans="1:4" ht="12.75" x14ac:dyDescent="0.2">
      <c r="A525" t="s">
        <v>19</v>
      </c>
      <c r="B525" t="s">
        <v>922</v>
      </c>
      <c r="C525"/>
      <c r="D525" s="170"/>
    </row>
    <row r="526" spans="1:4" ht="12.75" x14ac:dyDescent="0.2">
      <c r="A526" t="s">
        <v>20</v>
      </c>
      <c r="B526" t="s">
        <v>21</v>
      </c>
      <c r="C526"/>
      <c r="D526" s="170"/>
    </row>
    <row r="527" spans="1:4" ht="12.75" x14ac:dyDescent="0.2">
      <c r="A527" t="s">
        <v>22</v>
      </c>
      <c r="B527" t="s">
        <v>23</v>
      </c>
      <c r="C527"/>
      <c r="D527" s="170"/>
    </row>
    <row r="528" spans="1:4" ht="12.75" x14ac:dyDescent="0.2">
      <c r="A528" t="s">
        <v>24</v>
      </c>
      <c r="B528" t="s">
        <v>25</v>
      </c>
      <c r="C528" s="175">
        <v>-4027.77</v>
      </c>
      <c r="D528" s="170"/>
    </row>
    <row r="529" spans="1:4" ht="12.75" x14ac:dyDescent="0.2">
      <c r="A529" t="s">
        <v>26</v>
      </c>
      <c r="B529" t="s">
        <v>923</v>
      </c>
      <c r="C529"/>
      <c r="D529" s="170"/>
    </row>
    <row r="530" spans="1:4" ht="12.75" x14ac:dyDescent="0.2">
      <c r="A530" t="s">
        <v>27</v>
      </c>
      <c r="B530" t="s">
        <v>924</v>
      </c>
      <c r="C530"/>
      <c r="D530" s="170"/>
    </row>
    <row r="531" spans="1:4" ht="12.75" x14ac:dyDescent="0.2">
      <c r="A531" t="s">
        <v>28</v>
      </c>
      <c r="B531" t="s">
        <v>925</v>
      </c>
      <c r="C531"/>
      <c r="D531" s="170"/>
    </row>
    <row r="532" spans="1:4" ht="12.75" x14ac:dyDescent="0.2">
      <c r="A532" t="s">
        <v>29</v>
      </c>
      <c r="B532" t="s">
        <v>926</v>
      </c>
      <c r="C532" s="175">
        <v>-20000</v>
      </c>
      <c r="D532" s="170"/>
    </row>
    <row r="533" spans="1:4" ht="12.75" x14ac:dyDescent="0.2">
      <c r="A533" t="s">
        <v>30</v>
      </c>
      <c r="B533" t="s">
        <v>927</v>
      </c>
      <c r="C533">
        <v>0</v>
      </c>
      <c r="D533" s="170"/>
    </row>
    <row r="534" spans="1:4" ht="12.75" x14ac:dyDescent="0.2">
      <c r="A534" t="s">
        <v>31</v>
      </c>
      <c r="B534" t="s">
        <v>928</v>
      </c>
      <c r="C534" s="175">
        <v>-2976</v>
      </c>
      <c r="D534" s="170"/>
    </row>
    <row r="535" spans="1:4" ht="12.75" x14ac:dyDescent="0.2">
      <c r="A535" t="s">
        <v>32</v>
      </c>
      <c r="B535" t="s">
        <v>929</v>
      </c>
      <c r="C535">
        <v>0</v>
      </c>
      <c r="D535" s="170"/>
    </row>
    <row r="536" spans="1:4" ht="12.75" x14ac:dyDescent="0.2">
      <c r="A536" t="s">
        <v>33</v>
      </c>
      <c r="B536" t="s">
        <v>930</v>
      </c>
      <c r="C536">
        <v>0</v>
      </c>
      <c r="D536" s="170"/>
    </row>
    <row r="537" spans="1:4" ht="12.75" x14ac:dyDescent="0.2">
      <c r="A537" t="s">
        <v>34</v>
      </c>
      <c r="B537" t="s">
        <v>931</v>
      </c>
      <c r="C537" s="175">
        <v>-60000</v>
      </c>
      <c r="D537" s="170"/>
    </row>
    <row r="538" spans="1:4" ht="12.75" x14ac:dyDescent="0.2">
      <c r="A538" t="s">
        <v>35</v>
      </c>
      <c r="B538" t="s">
        <v>932</v>
      </c>
      <c r="C538" s="175">
        <v>-552000</v>
      </c>
      <c r="D538" s="170"/>
    </row>
    <row r="539" spans="1:4" ht="12.75" x14ac:dyDescent="0.2">
      <c r="A539" t="s">
        <v>36</v>
      </c>
      <c r="B539" t="s">
        <v>933</v>
      </c>
      <c r="C539" s="175">
        <v>-81000</v>
      </c>
      <c r="D539" s="170"/>
    </row>
    <row r="540" spans="1:4" ht="12.75" x14ac:dyDescent="0.2">
      <c r="A540" t="s">
        <v>37</v>
      </c>
      <c r="B540" t="s">
        <v>934</v>
      </c>
      <c r="C540"/>
      <c r="D540" s="170"/>
    </row>
    <row r="541" spans="1:4" ht="12.75" x14ac:dyDescent="0.2">
      <c r="A541" t="s">
        <v>1349</v>
      </c>
      <c r="B541" t="s">
        <v>1350</v>
      </c>
      <c r="C541"/>
      <c r="D541" s="170"/>
    </row>
    <row r="542" spans="1:4" ht="12.75" x14ac:dyDescent="0.2">
      <c r="A542" t="s">
        <v>38</v>
      </c>
      <c r="B542" t="s">
        <v>1351</v>
      </c>
      <c r="C542" s="175">
        <v>-1409.83</v>
      </c>
      <c r="D542" s="170"/>
    </row>
    <row r="543" spans="1:4" ht="12.75" x14ac:dyDescent="0.2">
      <c r="A543" t="s">
        <v>39</v>
      </c>
      <c r="B543" t="s">
        <v>1352</v>
      </c>
      <c r="C543"/>
      <c r="D543" s="170"/>
    </row>
    <row r="544" spans="1:4" ht="12.75" x14ac:dyDescent="0.2">
      <c r="A544" t="s">
        <v>40</v>
      </c>
      <c r="B544" t="s">
        <v>1353</v>
      </c>
      <c r="C544"/>
      <c r="D544" s="170"/>
    </row>
    <row r="545" spans="1:4" ht="12.75" x14ac:dyDescent="0.2">
      <c r="A545" t="s">
        <v>41</v>
      </c>
      <c r="B545" t="s">
        <v>1354</v>
      </c>
      <c r="C545">
        <v>0</v>
      </c>
      <c r="D545" s="170"/>
    </row>
    <row r="546" spans="1:4" ht="12.75" x14ac:dyDescent="0.2">
      <c r="A546" t="s">
        <v>42</v>
      </c>
      <c r="B546" t="s">
        <v>1355</v>
      </c>
      <c r="C546"/>
      <c r="D546" s="170"/>
    </row>
    <row r="547" spans="1:4" ht="12.75" x14ac:dyDescent="0.2">
      <c r="A547" t="s">
        <v>43</v>
      </c>
      <c r="B547" t="s">
        <v>1356</v>
      </c>
      <c r="C547"/>
      <c r="D547" s="170"/>
    </row>
    <row r="548" spans="1:4" ht="12.75" x14ac:dyDescent="0.2">
      <c r="A548" t="s">
        <v>44</v>
      </c>
      <c r="B548" t="s">
        <v>1357</v>
      </c>
      <c r="C548"/>
      <c r="D548" s="170"/>
    </row>
    <row r="549" spans="1:4" ht="12.75" x14ac:dyDescent="0.2">
      <c r="A549" t="s">
        <v>45</v>
      </c>
      <c r="B549" t="s">
        <v>1358</v>
      </c>
      <c r="C549" s="175">
        <v>-60000</v>
      </c>
      <c r="D549" s="170"/>
    </row>
    <row r="550" spans="1:4" ht="12.75" x14ac:dyDescent="0.2">
      <c r="A550" t="s">
        <v>46</v>
      </c>
      <c r="B550" t="s">
        <v>1359</v>
      </c>
      <c r="C550" s="175">
        <v>-300000</v>
      </c>
      <c r="D550" s="170"/>
    </row>
    <row r="551" spans="1:4" ht="12.75" x14ac:dyDescent="0.2">
      <c r="A551" t="s">
        <v>47</v>
      </c>
      <c r="B551" t="s">
        <v>935</v>
      </c>
      <c r="C551"/>
      <c r="D551" s="170"/>
    </row>
    <row r="552" spans="1:4" ht="12.75" x14ac:dyDescent="0.2">
      <c r="A552" t="s">
        <v>48</v>
      </c>
      <c r="B552" t="s">
        <v>936</v>
      </c>
      <c r="C552"/>
      <c r="D552" s="170"/>
    </row>
    <row r="553" spans="1:4" ht="12.75" x14ac:dyDescent="0.2">
      <c r="A553" t="s">
        <v>49</v>
      </c>
      <c r="B553" t="s">
        <v>50</v>
      </c>
      <c r="C553"/>
      <c r="D553" s="170"/>
    </row>
    <row r="554" spans="1:4" ht="12.75" x14ac:dyDescent="0.2">
      <c r="A554" t="s">
        <v>828</v>
      </c>
      <c r="B554" t="s">
        <v>937</v>
      </c>
      <c r="C554"/>
      <c r="D554" s="170"/>
    </row>
    <row r="555" spans="1:4" ht="12.75" x14ac:dyDescent="0.2">
      <c r="A555" t="s">
        <v>51</v>
      </c>
      <c r="B555" t="s">
        <v>938</v>
      </c>
      <c r="C555"/>
      <c r="D555" s="170"/>
    </row>
    <row r="556" spans="1:4" ht="12.75" x14ac:dyDescent="0.2">
      <c r="A556" t="s">
        <v>52</v>
      </c>
      <c r="B556" t="s">
        <v>939</v>
      </c>
      <c r="C556" s="175">
        <v>-17510789.970000003</v>
      </c>
      <c r="D556" s="170"/>
    </row>
    <row r="557" spans="1:4" ht="12.75" x14ac:dyDescent="0.2">
      <c r="A557" t="s">
        <v>53</v>
      </c>
      <c r="B557" t="s">
        <v>940</v>
      </c>
      <c r="C557" s="175">
        <v>-2130295.54</v>
      </c>
      <c r="D557" s="170"/>
    </row>
    <row r="558" spans="1:4" ht="12.75" x14ac:dyDescent="0.2">
      <c r="A558" t="s">
        <v>54</v>
      </c>
      <c r="B558" t="s">
        <v>941</v>
      </c>
      <c r="C558" s="175">
        <v>-270000</v>
      </c>
      <c r="D558" s="170"/>
    </row>
    <row r="559" spans="1:4" ht="12.75" x14ac:dyDescent="0.2">
      <c r="A559" t="s">
        <v>55</v>
      </c>
      <c r="B559" t="s">
        <v>56</v>
      </c>
      <c r="C559"/>
      <c r="D559" s="170"/>
    </row>
    <row r="560" spans="1:4" ht="12.75" x14ac:dyDescent="0.2">
      <c r="A560" t="s">
        <v>57</v>
      </c>
      <c r="B560" t="s">
        <v>942</v>
      </c>
      <c r="C560"/>
      <c r="D560" s="170"/>
    </row>
    <row r="561" spans="1:4" ht="12.75" x14ac:dyDescent="0.2">
      <c r="A561" t="s">
        <v>58</v>
      </c>
      <c r="B561" t="s">
        <v>943</v>
      </c>
      <c r="C561" s="175">
        <v>-277195.40000000002</v>
      </c>
      <c r="D561" s="170"/>
    </row>
    <row r="562" spans="1:4" ht="12.75" x14ac:dyDescent="0.2">
      <c r="A562" t="s">
        <v>59</v>
      </c>
      <c r="B562" t="s">
        <v>944</v>
      </c>
      <c r="C562"/>
      <c r="D562" s="170"/>
    </row>
    <row r="563" spans="1:4" ht="12.75" x14ac:dyDescent="0.2">
      <c r="A563" t="s">
        <v>60</v>
      </c>
      <c r="B563" t="s">
        <v>945</v>
      </c>
      <c r="C563">
        <v>-200000</v>
      </c>
      <c r="D563" s="170"/>
    </row>
    <row r="564" spans="1:4" ht="12.75" x14ac:dyDescent="0.2">
      <c r="A564" t="s">
        <v>61</v>
      </c>
      <c r="B564" t="s">
        <v>946</v>
      </c>
      <c r="C564"/>
      <c r="D564" s="170"/>
    </row>
    <row r="565" spans="1:4" ht="12.75" x14ac:dyDescent="0.2">
      <c r="A565" t="s">
        <v>62</v>
      </c>
      <c r="B565" t="s">
        <v>947</v>
      </c>
      <c r="C565"/>
      <c r="D565" s="170"/>
    </row>
    <row r="567" spans="1:4" x14ac:dyDescent="0.2">
      <c r="C567" s="151">
        <f>SUM(C2:C566)</f>
        <v>-76975477.879572898</v>
      </c>
    </row>
  </sheetData>
  <phoneticPr fontId="25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8"/>
  <sheetViews>
    <sheetView tabSelected="1" topLeftCell="A540" zoomScale="80" zoomScaleNormal="80" workbookViewId="0">
      <selection activeCell="L452" sqref="L451:L452"/>
    </sheetView>
  </sheetViews>
  <sheetFormatPr defaultColWidth="66.5703125" defaultRowHeight="12.75" x14ac:dyDescent="0.2"/>
  <cols>
    <col min="1" max="1" width="9.7109375" style="173" customWidth="1"/>
    <col min="2" max="2" width="75.28515625" style="27" customWidth="1"/>
    <col min="3" max="3" width="18.7109375" style="169" customWidth="1"/>
    <col min="4" max="4" width="17.28515625" style="188" customWidth="1"/>
    <col min="5" max="5" width="16" style="188" customWidth="1"/>
    <col min="6" max="154" width="16" style="24" customWidth="1"/>
    <col min="155" max="16384" width="66.5703125" style="24"/>
  </cols>
  <sheetData>
    <row r="1" spans="1:5" ht="25.5" x14ac:dyDescent="0.2">
      <c r="A1" s="121" t="s">
        <v>774</v>
      </c>
      <c r="B1" s="121" t="s">
        <v>775</v>
      </c>
      <c r="C1" s="159" t="s">
        <v>1387</v>
      </c>
      <c r="D1" s="159" t="s">
        <v>1386</v>
      </c>
      <c r="E1" s="159" t="s">
        <v>1390</v>
      </c>
    </row>
    <row r="2" spans="1:5" x14ac:dyDescent="0.2">
      <c r="A2" s="122" t="s">
        <v>824</v>
      </c>
      <c r="B2" s="123" t="s">
        <v>948</v>
      </c>
      <c r="C2" s="160"/>
      <c r="D2" s="160"/>
      <c r="E2" s="160">
        <f>C2-D2</f>
        <v>0</v>
      </c>
    </row>
    <row r="3" spans="1:5" x14ac:dyDescent="0.2">
      <c r="A3" s="122" t="s">
        <v>82</v>
      </c>
      <c r="B3" s="124" t="s">
        <v>949</v>
      </c>
      <c r="C3" s="161">
        <f>C4+C13+C28+C33</f>
        <v>1233001308.6841614</v>
      </c>
      <c r="D3" s="161">
        <v>1233997813.5599997</v>
      </c>
      <c r="E3" s="161">
        <f t="shared" ref="E3:E66" si="0">C3-D3</f>
        <v>-996504.87583827972</v>
      </c>
    </row>
    <row r="4" spans="1:5" x14ac:dyDescent="0.2">
      <c r="A4" s="122" t="s">
        <v>83</v>
      </c>
      <c r="B4" s="125" t="s">
        <v>84</v>
      </c>
      <c r="C4" s="161">
        <f>+C5+C12</f>
        <v>1216037128.4941614</v>
      </c>
      <c r="D4" s="161">
        <v>1196892110.2099998</v>
      </c>
      <c r="E4" s="161">
        <f t="shared" si="0"/>
        <v>19145018.284161568</v>
      </c>
    </row>
    <row r="5" spans="1:5" s="25" customFormat="1" x14ac:dyDescent="0.2">
      <c r="A5" s="141" t="s">
        <v>85</v>
      </c>
      <c r="B5" s="152" t="s">
        <v>86</v>
      </c>
      <c r="C5" s="160">
        <f>+C6+C7+C8+C11</f>
        <v>1206488624.9541614</v>
      </c>
      <c r="D5" s="160">
        <v>1188709739.3899999</v>
      </c>
      <c r="E5" s="160">
        <f t="shared" si="0"/>
        <v>17778885.564161539</v>
      </c>
    </row>
    <row r="6" spans="1:5" s="25" customFormat="1" x14ac:dyDescent="0.2">
      <c r="A6" s="136" t="s">
        <v>1131</v>
      </c>
      <c r="B6" s="145" t="s">
        <v>1132</v>
      </c>
      <c r="C6" s="162">
        <f>+Dati!C7</f>
        <v>1121923692.1099999</v>
      </c>
      <c r="D6" s="162">
        <v>1106523462.3099999</v>
      </c>
      <c r="E6" s="162">
        <f t="shared" si="0"/>
        <v>15400229.799999952</v>
      </c>
    </row>
    <row r="7" spans="1:5" x14ac:dyDescent="0.2">
      <c r="A7" s="136" t="s">
        <v>1133</v>
      </c>
      <c r="B7" s="145" t="s">
        <v>1134</v>
      </c>
      <c r="C7" s="162">
        <f>+Dati!C8</f>
        <v>69864881.20416142</v>
      </c>
      <c r="D7" s="162">
        <v>71202325.980000004</v>
      </c>
      <c r="E7" s="162">
        <f t="shared" si="0"/>
        <v>-1337444.7758385837</v>
      </c>
    </row>
    <row r="8" spans="1:5" x14ac:dyDescent="0.2">
      <c r="A8" s="141" t="s">
        <v>1135</v>
      </c>
      <c r="B8" s="154" t="s">
        <v>1136</v>
      </c>
      <c r="C8" s="160">
        <f>SUM(C9:C10)</f>
        <v>14700051.640000001</v>
      </c>
      <c r="D8" s="160">
        <v>10983951.1</v>
      </c>
      <c r="E8" s="160">
        <f t="shared" si="0"/>
        <v>3716100.540000001</v>
      </c>
    </row>
    <row r="9" spans="1:5" s="25" customFormat="1" x14ac:dyDescent="0.2">
      <c r="A9" s="136" t="s">
        <v>1137</v>
      </c>
      <c r="B9" s="143" t="s">
        <v>1138</v>
      </c>
      <c r="C9" s="162">
        <f>+Dati!C10</f>
        <v>0</v>
      </c>
      <c r="D9" s="162">
        <v>0</v>
      </c>
      <c r="E9" s="162">
        <f t="shared" si="0"/>
        <v>0</v>
      </c>
    </row>
    <row r="10" spans="1:5" s="25" customFormat="1" x14ac:dyDescent="0.2">
      <c r="A10" s="136" t="s">
        <v>1139</v>
      </c>
      <c r="B10" s="143" t="s">
        <v>1140</v>
      </c>
      <c r="C10" s="162">
        <f>+Dati!C11</f>
        <v>14700051.640000001</v>
      </c>
      <c r="D10" s="162">
        <v>10983951.1</v>
      </c>
      <c r="E10" s="162">
        <f t="shared" si="0"/>
        <v>3716100.540000001</v>
      </c>
    </row>
    <row r="11" spans="1:5" s="25" customFormat="1" ht="25.5" x14ac:dyDescent="0.2">
      <c r="A11" s="136" t="s">
        <v>1141</v>
      </c>
      <c r="B11" s="145" t="s">
        <v>1142</v>
      </c>
      <c r="C11" s="162">
        <f>+Dati!C12</f>
        <v>0</v>
      </c>
      <c r="D11" s="162">
        <v>0</v>
      </c>
      <c r="E11" s="162">
        <f t="shared" si="0"/>
        <v>0</v>
      </c>
    </row>
    <row r="12" spans="1:5" s="25" customFormat="1" x14ac:dyDescent="0.2">
      <c r="A12" s="136" t="s">
        <v>87</v>
      </c>
      <c r="B12" s="138" t="s">
        <v>88</v>
      </c>
      <c r="C12" s="162">
        <f>Dati!C13</f>
        <v>9548503.5399999991</v>
      </c>
      <c r="D12" s="162">
        <v>8182370.8200000003</v>
      </c>
      <c r="E12" s="162">
        <f t="shared" si="0"/>
        <v>1366132.7199999988</v>
      </c>
    </row>
    <row r="13" spans="1:5" x14ac:dyDescent="0.2">
      <c r="A13" s="122" t="s">
        <v>89</v>
      </c>
      <c r="B13" s="125" t="s">
        <v>90</v>
      </c>
      <c r="C13" s="161">
        <f>C14+C19+C22</f>
        <v>16964180.190000001</v>
      </c>
      <c r="D13" s="161">
        <v>37083953.350000001</v>
      </c>
      <c r="E13" s="161">
        <f t="shared" si="0"/>
        <v>-20119773.16</v>
      </c>
    </row>
    <row r="14" spans="1:5" s="25" customFormat="1" x14ac:dyDescent="0.2">
      <c r="A14" s="122" t="s">
        <v>91</v>
      </c>
      <c r="B14" s="126" t="s">
        <v>92</v>
      </c>
      <c r="C14" s="161">
        <f>SUM(C15:C18)</f>
        <v>13257122.49</v>
      </c>
      <c r="D14" s="161">
        <v>15844135.029999999</v>
      </c>
      <c r="E14" s="161">
        <f t="shared" si="0"/>
        <v>-2587012.5399999991</v>
      </c>
    </row>
    <row r="15" spans="1:5" s="25" customFormat="1" x14ac:dyDescent="0.2">
      <c r="A15" s="136" t="s">
        <v>93</v>
      </c>
      <c r="B15" s="145" t="s">
        <v>94</v>
      </c>
      <c r="C15" s="162">
        <f>Dati!C16</f>
        <v>0</v>
      </c>
      <c r="D15" s="162">
        <v>0</v>
      </c>
      <c r="E15" s="162">
        <f t="shared" si="0"/>
        <v>0</v>
      </c>
    </row>
    <row r="16" spans="1:5" ht="25.5" x14ac:dyDescent="0.2">
      <c r="A16" s="136" t="s">
        <v>95</v>
      </c>
      <c r="B16" s="145" t="s">
        <v>822</v>
      </c>
      <c r="C16" s="162">
        <f>Dati!C17</f>
        <v>0</v>
      </c>
      <c r="D16" s="162">
        <v>0</v>
      </c>
      <c r="E16" s="162">
        <f t="shared" si="0"/>
        <v>0</v>
      </c>
    </row>
    <row r="17" spans="1:5" s="25" customFormat="1" ht="25.5" x14ac:dyDescent="0.2">
      <c r="A17" s="136" t="s">
        <v>96</v>
      </c>
      <c r="B17" s="145" t="s">
        <v>823</v>
      </c>
      <c r="C17" s="162">
        <f>Dati!C18</f>
        <v>13257122.49</v>
      </c>
      <c r="D17" s="162">
        <v>15795005</v>
      </c>
      <c r="E17" s="162">
        <f t="shared" si="0"/>
        <v>-2537882.5099999998</v>
      </c>
    </row>
    <row r="18" spans="1:5" s="25" customFormat="1" x14ac:dyDescent="0.2">
      <c r="A18" s="136" t="s">
        <v>97</v>
      </c>
      <c r="B18" s="145" t="s">
        <v>98</v>
      </c>
      <c r="C18" s="162">
        <f>Dati!C19</f>
        <v>0</v>
      </c>
      <c r="D18" s="162">
        <v>49130.03</v>
      </c>
      <c r="E18" s="162">
        <f t="shared" si="0"/>
        <v>-49130.03</v>
      </c>
    </row>
    <row r="19" spans="1:5" s="25" customFormat="1" ht="25.5" x14ac:dyDescent="0.2">
      <c r="A19" s="122" t="s">
        <v>99</v>
      </c>
      <c r="B19" s="126" t="s">
        <v>100</v>
      </c>
      <c r="C19" s="161">
        <f>SUM(C20:C21)</f>
        <v>9630</v>
      </c>
      <c r="D19" s="161">
        <v>23330</v>
      </c>
      <c r="E19" s="161">
        <f t="shared" si="0"/>
        <v>-13700</v>
      </c>
    </row>
    <row r="20" spans="1:5" ht="25.5" x14ac:dyDescent="0.2">
      <c r="A20" s="136" t="s">
        <v>101</v>
      </c>
      <c r="B20" s="145" t="s">
        <v>102</v>
      </c>
      <c r="C20" s="162">
        <f>Dati!C21</f>
        <v>9630</v>
      </c>
      <c r="D20" s="162">
        <v>23330</v>
      </c>
      <c r="E20" s="162">
        <f t="shared" si="0"/>
        <v>-13700</v>
      </c>
    </row>
    <row r="21" spans="1:5" s="25" customFormat="1" ht="25.5" x14ac:dyDescent="0.2">
      <c r="A21" s="136" t="s">
        <v>103</v>
      </c>
      <c r="B21" s="145" t="s">
        <v>104</v>
      </c>
      <c r="C21" s="162">
        <f>Dati!C22</f>
        <v>0</v>
      </c>
      <c r="D21" s="162">
        <v>0</v>
      </c>
      <c r="E21" s="162">
        <f t="shared" si="0"/>
        <v>0</v>
      </c>
    </row>
    <row r="22" spans="1:5" s="25" customFormat="1" x14ac:dyDescent="0.2">
      <c r="A22" s="122" t="s">
        <v>105</v>
      </c>
      <c r="B22" s="126" t="s">
        <v>106</v>
      </c>
      <c r="C22" s="161">
        <f>SUM(C23:C27)</f>
        <v>3697427.7</v>
      </c>
      <c r="D22" s="161">
        <v>21216488.32</v>
      </c>
      <c r="E22" s="161">
        <f t="shared" si="0"/>
        <v>-17519060.620000001</v>
      </c>
    </row>
    <row r="23" spans="1:5" s="25" customFormat="1" x14ac:dyDescent="0.2">
      <c r="A23" s="136" t="s">
        <v>1143</v>
      </c>
      <c r="B23" s="145" t="s">
        <v>1144</v>
      </c>
      <c r="C23" s="162">
        <f>Dati!C24</f>
        <v>0</v>
      </c>
      <c r="D23" s="162">
        <v>810930.73</v>
      </c>
      <c r="E23" s="162">
        <f t="shared" si="0"/>
        <v>-810930.73</v>
      </c>
    </row>
    <row r="24" spans="1:5" s="25" customFormat="1" x14ac:dyDescent="0.2">
      <c r="A24" s="136" t="s">
        <v>107</v>
      </c>
      <c r="B24" s="145" t="s">
        <v>1145</v>
      </c>
      <c r="C24" s="162">
        <f>Dati!C25</f>
        <v>1218992.7</v>
      </c>
      <c r="D24" s="162">
        <v>17943299.98</v>
      </c>
      <c r="E24" s="162">
        <f t="shared" si="0"/>
        <v>-16724307.280000001</v>
      </c>
    </row>
    <row r="25" spans="1:5" s="25" customFormat="1" x14ac:dyDescent="0.2">
      <c r="A25" s="136" t="s">
        <v>108</v>
      </c>
      <c r="B25" s="145" t="s">
        <v>1146</v>
      </c>
      <c r="C25" s="162">
        <f>Dati!C26</f>
        <v>2478435</v>
      </c>
      <c r="D25" s="162">
        <v>2462257.61</v>
      </c>
      <c r="E25" s="162">
        <f t="shared" si="0"/>
        <v>16177.39000000013</v>
      </c>
    </row>
    <row r="26" spans="1:5" x14ac:dyDescent="0.2">
      <c r="A26" s="136" t="s">
        <v>109</v>
      </c>
      <c r="B26" s="145" t="s">
        <v>1147</v>
      </c>
      <c r="C26" s="162">
        <f>Dati!C27</f>
        <v>0</v>
      </c>
      <c r="D26" s="162">
        <v>0</v>
      </c>
      <c r="E26" s="162">
        <f t="shared" si="0"/>
        <v>0</v>
      </c>
    </row>
    <row r="27" spans="1:5" s="25" customFormat="1" ht="38.25" x14ac:dyDescent="0.2">
      <c r="A27" s="136" t="s">
        <v>1148</v>
      </c>
      <c r="B27" s="145" t="s">
        <v>1149</v>
      </c>
      <c r="C27" s="162">
        <f>Dati!C28</f>
        <v>0</v>
      </c>
      <c r="D27" s="162">
        <v>0</v>
      </c>
      <c r="E27" s="162">
        <f t="shared" si="0"/>
        <v>0</v>
      </c>
    </row>
    <row r="28" spans="1:5" s="25" customFormat="1" x14ac:dyDescent="0.2">
      <c r="A28" s="122" t="s">
        <v>110</v>
      </c>
      <c r="B28" s="125" t="s">
        <v>111</v>
      </c>
      <c r="C28" s="161">
        <f>SUM(C29:C32)</f>
        <v>0</v>
      </c>
      <c r="D28" s="161">
        <v>21750</v>
      </c>
      <c r="E28" s="161">
        <f t="shared" si="0"/>
        <v>-21750</v>
      </c>
    </row>
    <row r="29" spans="1:5" x14ac:dyDescent="0.2">
      <c r="A29" s="136" t="s">
        <v>112</v>
      </c>
      <c r="B29" s="145" t="s">
        <v>113</v>
      </c>
      <c r="C29" s="162">
        <f>Dati!C30</f>
        <v>0</v>
      </c>
      <c r="D29" s="162">
        <v>0</v>
      </c>
      <c r="E29" s="162">
        <f t="shared" si="0"/>
        <v>0</v>
      </c>
    </row>
    <row r="30" spans="1:5" s="25" customFormat="1" x14ac:dyDescent="0.2">
      <c r="A30" s="136" t="s">
        <v>114</v>
      </c>
      <c r="B30" s="145" t="s">
        <v>115</v>
      </c>
      <c r="C30" s="162">
        <f>Dati!C31</f>
        <v>0</v>
      </c>
      <c r="D30" s="162">
        <v>0</v>
      </c>
      <c r="E30" s="162">
        <f t="shared" si="0"/>
        <v>0</v>
      </c>
    </row>
    <row r="31" spans="1:5" s="25" customFormat="1" x14ac:dyDescent="0.2">
      <c r="A31" s="136" t="s">
        <v>116</v>
      </c>
      <c r="B31" s="145" t="s">
        <v>117</v>
      </c>
      <c r="C31" s="162">
        <f>Dati!C32</f>
        <v>0</v>
      </c>
      <c r="D31" s="162">
        <v>21750</v>
      </c>
      <c r="E31" s="162">
        <f t="shared" si="0"/>
        <v>-21750</v>
      </c>
    </row>
    <row r="32" spans="1:5" s="25" customFormat="1" x14ac:dyDescent="0.2">
      <c r="A32" s="136" t="s">
        <v>118</v>
      </c>
      <c r="B32" s="145" t="s">
        <v>119</v>
      </c>
      <c r="C32" s="162">
        <f>Dati!C33</f>
        <v>0</v>
      </c>
      <c r="D32" s="162">
        <v>0</v>
      </c>
      <c r="E32" s="162">
        <f t="shared" si="0"/>
        <v>0</v>
      </c>
    </row>
    <row r="33" spans="1:5" s="25" customFormat="1" x14ac:dyDescent="0.2">
      <c r="A33" s="122" t="s">
        <v>120</v>
      </c>
      <c r="B33" s="125" t="s">
        <v>121</v>
      </c>
      <c r="C33" s="161">
        <f>Dati!C34</f>
        <v>0</v>
      </c>
      <c r="D33" s="161">
        <v>0</v>
      </c>
      <c r="E33" s="161">
        <f t="shared" si="0"/>
        <v>0</v>
      </c>
    </row>
    <row r="34" spans="1:5" x14ac:dyDescent="0.2">
      <c r="A34" s="122" t="s">
        <v>122</v>
      </c>
      <c r="B34" s="124" t="s">
        <v>123</v>
      </c>
      <c r="C34" s="161">
        <f>SUM(C35:C36)</f>
        <v>0</v>
      </c>
      <c r="D34" s="161">
        <v>-5315956.92</v>
      </c>
      <c r="E34" s="161">
        <f t="shared" si="0"/>
        <v>5315956.92</v>
      </c>
    </row>
    <row r="35" spans="1:5" ht="25.5" x14ac:dyDescent="0.2">
      <c r="A35" s="136" t="s">
        <v>124</v>
      </c>
      <c r="B35" s="137" t="s">
        <v>125</v>
      </c>
      <c r="C35" s="162">
        <f>Dati!C36</f>
        <v>0</v>
      </c>
      <c r="D35" s="162">
        <v>-4930217.1500000004</v>
      </c>
      <c r="E35" s="162">
        <f t="shared" si="0"/>
        <v>4930217.1500000004</v>
      </c>
    </row>
    <row r="36" spans="1:5" ht="25.5" x14ac:dyDescent="0.2">
      <c r="A36" s="136" t="s">
        <v>126</v>
      </c>
      <c r="B36" s="137" t="s">
        <v>127</v>
      </c>
      <c r="C36" s="162">
        <f>Dati!C37</f>
        <v>0</v>
      </c>
      <c r="D36" s="162">
        <v>-385739.77</v>
      </c>
      <c r="E36" s="162">
        <f t="shared" si="0"/>
        <v>385739.77</v>
      </c>
    </row>
    <row r="37" spans="1:5" s="25" customFormat="1" ht="25.5" x14ac:dyDescent="0.2">
      <c r="A37" s="122" t="s">
        <v>128</v>
      </c>
      <c r="B37" s="124" t="s">
        <v>129</v>
      </c>
      <c r="C37" s="161">
        <f>SUM(C38:C42)</f>
        <v>1855463.84</v>
      </c>
      <c r="D37" s="161">
        <v>13016153.219999999</v>
      </c>
      <c r="E37" s="161">
        <f t="shared" si="0"/>
        <v>-11160689.379999999</v>
      </c>
    </row>
    <row r="38" spans="1:5" s="144" customFormat="1" ht="25.5" x14ac:dyDescent="0.2">
      <c r="A38" s="136" t="s">
        <v>1150</v>
      </c>
      <c r="B38" s="137" t="s">
        <v>1151</v>
      </c>
      <c r="C38" s="162">
        <f>Dati!C39</f>
        <v>1340327</v>
      </c>
      <c r="D38" s="162">
        <v>498249.98</v>
      </c>
      <c r="E38" s="162">
        <f t="shared" si="0"/>
        <v>842077.02</v>
      </c>
    </row>
    <row r="39" spans="1:5" s="25" customFormat="1" ht="25.5" x14ac:dyDescent="0.2">
      <c r="A39" s="136" t="s">
        <v>130</v>
      </c>
      <c r="B39" s="137" t="s">
        <v>1152</v>
      </c>
      <c r="C39" s="162">
        <f>Dati!C40</f>
        <v>515136.84</v>
      </c>
      <c r="D39" s="162">
        <v>8316171.9199999999</v>
      </c>
      <c r="E39" s="162">
        <f t="shared" si="0"/>
        <v>-7801035.0800000001</v>
      </c>
    </row>
    <row r="40" spans="1:5" s="25" customFormat="1" ht="25.5" x14ac:dyDescent="0.2">
      <c r="A40" s="136" t="s">
        <v>131</v>
      </c>
      <c r="B40" s="137" t="s">
        <v>1153</v>
      </c>
      <c r="C40" s="162">
        <f>Dati!C41</f>
        <v>0</v>
      </c>
      <c r="D40" s="162">
        <v>4140842.03</v>
      </c>
      <c r="E40" s="162">
        <f t="shared" si="0"/>
        <v>-4140842.03</v>
      </c>
    </row>
    <row r="41" spans="1:5" s="25" customFormat="1" ht="25.5" x14ac:dyDescent="0.2">
      <c r="A41" s="136" t="s">
        <v>263</v>
      </c>
      <c r="B41" s="137" t="s">
        <v>1154</v>
      </c>
      <c r="C41" s="162">
        <f>Dati!C42</f>
        <v>0</v>
      </c>
      <c r="D41" s="162">
        <v>60889.29</v>
      </c>
      <c r="E41" s="162">
        <f t="shared" si="0"/>
        <v>-60889.29</v>
      </c>
    </row>
    <row r="42" spans="1:5" s="25" customFormat="1" ht="25.5" x14ac:dyDescent="0.2">
      <c r="A42" s="136" t="s">
        <v>264</v>
      </c>
      <c r="B42" s="137" t="s">
        <v>1155</v>
      </c>
      <c r="C42" s="162">
        <f>Dati!C43</f>
        <v>0</v>
      </c>
      <c r="D42" s="162">
        <v>0</v>
      </c>
      <c r="E42" s="162">
        <f t="shared" si="0"/>
        <v>0</v>
      </c>
    </row>
    <row r="43" spans="1:5" s="25" customFormat="1" x14ac:dyDescent="0.2">
      <c r="A43" s="122" t="s">
        <v>265</v>
      </c>
      <c r="B43" s="124" t="s">
        <v>268</v>
      </c>
      <c r="C43" s="161">
        <f>C44+C83+C89+C90</f>
        <v>65804793.009999998</v>
      </c>
      <c r="D43" s="161">
        <v>67636769.070000008</v>
      </c>
      <c r="E43" s="161">
        <f t="shared" si="0"/>
        <v>-1831976.0600000098</v>
      </c>
    </row>
    <row r="44" spans="1:5" s="25" customFormat="1" ht="25.5" x14ac:dyDescent="0.2">
      <c r="A44" s="122" t="s">
        <v>269</v>
      </c>
      <c r="B44" s="125" t="s">
        <v>270</v>
      </c>
      <c r="C44" s="161">
        <f>C45+C61+C62</f>
        <v>32309427.129999999</v>
      </c>
      <c r="D44" s="161">
        <v>31268142.240000002</v>
      </c>
      <c r="E44" s="161">
        <f t="shared" si="0"/>
        <v>1041284.8899999969</v>
      </c>
    </row>
    <row r="45" spans="1:5" s="25" customFormat="1" ht="25.5" x14ac:dyDescent="0.2">
      <c r="A45" s="141" t="s">
        <v>271</v>
      </c>
      <c r="B45" s="152" t="s">
        <v>272</v>
      </c>
      <c r="C45" s="160">
        <f>SUM(C46:C60)</f>
        <v>21940799.129999999</v>
      </c>
      <c r="D45" s="160">
        <v>21021491.300000004</v>
      </c>
      <c r="E45" s="160">
        <f t="shared" si="0"/>
        <v>919307.82999999449</v>
      </c>
    </row>
    <row r="46" spans="1:5" s="25" customFormat="1" x14ac:dyDescent="0.2">
      <c r="A46" s="136" t="s">
        <v>273</v>
      </c>
      <c r="B46" s="145" t="s">
        <v>274</v>
      </c>
      <c r="C46" s="162">
        <f>Dati!C47</f>
        <v>8303106.8800000008</v>
      </c>
      <c r="D46" s="162">
        <v>6955929</v>
      </c>
      <c r="E46" s="162">
        <f t="shared" si="0"/>
        <v>1347177.8800000008</v>
      </c>
    </row>
    <row r="47" spans="1:5" x14ac:dyDescent="0.2">
      <c r="A47" s="136" t="s">
        <v>275</v>
      </c>
      <c r="B47" s="145" t="s">
        <v>276</v>
      </c>
      <c r="C47" s="162">
        <f>Dati!C48</f>
        <v>6452520.54</v>
      </c>
      <c r="D47" s="162">
        <v>6930213.0700000003</v>
      </c>
      <c r="E47" s="162">
        <f t="shared" si="0"/>
        <v>-477692.53000000026</v>
      </c>
    </row>
    <row r="48" spans="1:5" s="25" customFormat="1" x14ac:dyDescent="0.2">
      <c r="A48" s="136" t="s">
        <v>1156</v>
      </c>
      <c r="B48" s="145" t="s">
        <v>1157</v>
      </c>
      <c r="C48" s="162">
        <f>Dati!C49</f>
        <v>736100</v>
      </c>
      <c r="D48" s="162">
        <v>684510.15</v>
      </c>
      <c r="E48" s="162">
        <f t="shared" si="0"/>
        <v>51589.849999999977</v>
      </c>
    </row>
    <row r="49" spans="1:5" s="25" customFormat="1" x14ac:dyDescent="0.2">
      <c r="A49" s="136" t="s">
        <v>277</v>
      </c>
      <c r="B49" s="145" t="s">
        <v>1158</v>
      </c>
      <c r="C49" s="162">
        <f>Dati!C50</f>
        <v>0</v>
      </c>
      <c r="D49" s="162">
        <v>0</v>
      </c>
      <c r="E49" s="162">
        <f t="shared" si="0"/>
        <v>0</v>
      </c>
    </row>
    <row r="50" spans="1:5" s="25" customFormat="1" x14ac:dyDescent="0.2">
      <c r="A50" s="136" t="s">
        <v>278</v>
      </c>
      <c r="B50" s="145" t="s">
        <v>1159</v>
      </c>
      <c r="C50" s="162">
        <f>Dati!C51</f>
        <v>4120708</v>
      </c>
      <c r="D50" s="162">
        <v>4217997.3600000003</v>
      </c>
      <c r="E50" s="162">
        <f t="shared" si="0"/>
        <v>-97289.360000000335</v>
      </c>
    </row>
    <row r="51" spans="1:5" s="25" customFormat="1" x14ac:dyDescent="0.2">
      <c r="A51" s="136" t="s">
        <v>279</v>
      </c>
      <c r="B51" s="145" t="s">
        <v>1160</v>
      </c>
      <c r="C51" s="162">
        <f>Dati!C52</f>
        <v>476380</v>
      </c>
      <c r="D51" s="162">
        <v>465064.23</v>
      </c>
      <c r="E51" s="162">
        <f t="shared" si="0"/>
        <v>11315.770000000019</v>
      </c>
    </row>
    <row r="52" spans="1:5" s="25" customFormat="1" x14ac:dyDescent="0.2">
      <c r="A52" s="136" t="s">
        <v>280</v>
      </c>
      <c r="B52" s="145" t="s">
        <v>1161</v>
      </c>
      <c r="C52" s="162">
        <f>Dati!C53</f>
        <v>1087116.1299999999</v>
      </c>
      <c r="D52" s="162">
        <v>1085923.5</v>
      </c>
      <c r="E52" s="162">
        <f t="shared" si="0"/>
        <v>1192.6299999998882</v>
      </c>
    </row>
    <row r="53" spans="1:5" s="25" customFormat="1" x14ac:dyDescent="0.2">
      <c r="A53" s="136" t="s">
        <v>281</v>
      </c>
      <c r="B53" s="145" t="s">
        <v>1162</v>
      </c>
      <c r="C53" s="162">
        <f>Dati!C54</f>
        <v>0</v>
      </c>
      <c r="D53" s="162">
        <v>0</v>
      </c>
      <c r="E53" s="162">
        <f t="shared" si="0"/>
        <v>0</v>
      </c>
    </row>
    <row r="54" spans="1:5" s="25" customFormat="1" x14ac:dyDescent="0.2">
      <c r="A54" s="136" t="s">
        <v>282</v>
      </c>
      <c r="B54" s="145" t="s">
        <v>1163</v>
      </c>
      <c r="C54" s="162">
        <f>Dati!C55</f>
        <v>0</v>
      </c>
      <c r="D54" s="162">
        <v>0</v>
      </c>
      <c r="E54" s="162">
        <f t="shared" si="0"/>
        <v>0</v>
      </c>
    </row>
    <row r="55" spans="1:5" s="25" customFormat="1" x14ac:dyDescent="0.2">
      <c r="A55" s="136" t="s">
        <v>1164</v>
      </c>
      <c r="B55" s="145" t="s">
        <v>1165</v>
      </c>
      <c r="C55" s="162">
        <f>Dati!C56</f>
        <v>410591.27</v>
      </c>
      <c r="D55" s="162">
        <v>405564.27</v>
      </c>
      <c r="E55" s="162">
        <f t="shared" si="0"/>
        <v>5027</v>
      </c>
    </row>
    <row r="56" spans="1:5" s="25" customFormat="1" x14ac:dyDescent="0.2">
      <c r="A56" s="136" t="s">
        <v>1166</v>
      </c>
      <c r="B56" s="145" t="s">
        <v>1167</v>
      </c>
      <c r="C56" s="162">
        <f>Dati!C57</f>
        <v>0</v>
      </c>
      <c r="D56" s="162">
        <v>3463.85</v>
      </c>
      <c r="E56" s="162">
        <f t="shared" si="0"/>
        <v>-3463.85</v>
      </c>
    </row>
    <row r="57" spans="1:5" s="25" customFormat="1" x14ac:dyDescent="0.2">
      <c r="A57" s="136" t="s">
        <v>1168</v>
      </c>
      <c r="B57" s="145" t="s">
        <v>1169</v>
      </c>
      <c r="C57" s="162">
        <f>Dati!C58</f>
        <v>0</v>
      </c>
      <c r="D57" s="162">
        <v>0</v>
      </c>
      <c r="E57" s="162">
        <f t="shared" si="0"/>
        <v>0</v>
      </c>
    </row>
    <row r="58" spans="1:5" s="25" customFormat="1" x14ac:dyDescent="0.2">
      <c r="A58" s="136" t="s">
        <v>1170</v>
      </c>
      <c r="B58" s="145" t="s">
        <v>1171</v>
      </c>
      <c r="C58" s="162">
        <f>Dati!C59</f>
        <v>0</v>
      </c>
      <c r="D58" s="162">
        <v>0</v>
      </c>
      <c r="E58" s="162">
        <f t="shared" si="0"/>
        <v>0</v>
      </c>
    </row>
    <row r="59" spans="1:5" x14ac:dyDescent="0.2">
      <c r="A59" s="136" t="s">
        <v>1172</v>
      </c>
      <c r="B59" s="145" t="s">
        <v>1173</v>
      </c>
      <c r="C59" s="162">
        <f>Dati!C60</f>
        <v>0</v>
      </c>
      <c r="D59" s="162">
        <v>0</v>
      </c>
      <c r="E59" s="162">
        <f t="shared" si="0"/>
        <v>0</v>
      </c>
    </row>
    <row r="60" spans="1:5" s="25" customFormat="1" x14ac:dyDescent="0.2">
      <c r="A60" s="136" t="s">
        <v>283</v>
      </c>
      <c r="B60" s="145" t="s">
        <v>1174</v>
      </c>
      <c r="C60" s="162">
        <f>Dati!C61</f>
        <v>354276.31</v>
      </c>
      <c r="D60" s="162">
        <v>272825.87</v>
      </c>
      <c r="E60" s="162">
        <f t="shared" si="0"/>
        <v>81450.44</v>
      </c>
    </row>
    <row r="61" spans="1:5" s="25" customFormat="1" ht="25.5" x14ac:dyDescent="0.2">
      <c r="A61" s="136" t="s">
        <v>284</v>
      </c>
      <c r="B61" s="138" t="s">
        <v>285</v>
      </c>
      <c r="C61" s="162">
        <f>Dati!C62</f>
        <v>1307320</v>
      </c>
      <c r="D61" s="162">
        <v>1492732.59</v>
      </c>
      <c r="E61" s="162">
        <f t="shared" si="0"/>
        <v>-185412.59000000008</v>
      </c>
    </row>
    <row r="62" spans="1:5" s="25" customFormat="1" ht="25.5" x14ac:dyDescent="0.2">
      <c r="A62" s="141" t="s">
        <v>286</v>
      </c>
      <c r="B62" s="152" t="s">
        <v>287</v>
      </c>
      <c r="C62" s="160">
        <f>SUM(C63:C77)+C80+C81+C82</f>
        <v>9061308</v>
      </c>
      <c r="D62" s="160">
        <v>8753918.3499999996</v>
      </c>
      <c r="E62" s="160">
        <f t="shared" si="0"/>
        <v>307389.65000000037</v>
      </c>
    </row>
    <row r="63" spans="1:5" x14ac:dyDescent="0.2">
      <c r="A63" s="136" t="s">
        <v>288</v>
      </c>
      <c r="B63" s="145" t="s">
        <v>289</v>
      </c>
      <c r="C63" s="162">
        <f>Dati!C64</f>
        <v>2531308</v>
      </c>
      <c r="D63" s="162">
        <v>2531308</v>
      </c>
      <c r="E63" s="162">
        <f t="shared" si="0"/>
        <v>0</v>
      </c>
    </row>
    <row r="64" spans="1:5" s="25" customFormat="1" x14ac:dyDescent="0.2">
      <c r="A64" s="136" t="s">
        <v>290</v>
      </c>
      <c r="B64" s="145" t="s">
        <v>291</v>
      </c>
      <c r="C64" s="162">
        <f>Dati!C65</f>
        <v>980000</v>
      </c>
      <c r="D64" s="162">
        <v>859771</v>
      </c>
      <c r="E64" s="162">
        <f t="shared" si="0"/>
        <v>120229</v>
      </c>
    </row>
    <row r="65" spans="1:5" s="25" customFormat="1" x14ac:dyDescent="0.2">
      <c r="A65" s="136" t="s">
        <v>1175</v>
      </c>
      <c r="B65" s="145" t="s">
        <v>1176</v>
      </c>
      <c r="C65" s="162">
        <f>Dati!C66</f>
        <v>230000</v>
      </c>
      <c r="D65" s="162">
        <v>190410.35</v>
      </c>
      <c r="E65" s="162">
        <f t="shared" si="0"/>
        <v>39589.649999999994</v>
      </c>
    </row>
    <row r="66" spans="1:5" s="25" customFormat="1" ht="25.5" x14ac:dyDescent="0.2">
      <c r="A66" s="136" t="s">
        <v>292</v>
      </c>
      <c r="B66" s="145" t="s">
        <v>1177</v>
      </c>
      <c r="C66" s="162">
        <f>Dati!C67</f>
        <v>0</v>
      </c>
      <c r="D66" s="162">
        <v>0</v>
      </c>
      <c r="E66" s="162">
        <f t="shared" si="0"/>
        <v>0</v>
      </c>
    </row>
    <row r="67" spans="1:5" s="25" customFormat="1" x14ac:dyDescent="0.2">
      <c r="A67" s="136" t="s">
        <v>293</v>
      </c>
      <c r="B67" s="145" t="s">
        <v>1178</v>
      </c>
      <c r="C67" s="162">
        <f>Dati!C68</f>
        <v>2700000</v>
      </c>
      <c r="D67" s="162">
        <v>2557242</v>
      </c>
      <c r="E67" s="162">
        <f t="shared" ref="E67:E130" si="1">C67-D67</f>
        <v>142758</v>
      </c>
    </row>
    <row r="68" spans="1:5" s="25" customFormat="1" x14ac:dyDescent="0.2">
      <c r="A68" s="136" t="s">
        <v>294</v>
      </c>
      <c r="B68" s="145" t="s">
        <v>1179</v>
      </c>
      <c r="C68" s="162">
        <f>Dati!C69</f>
        <v>650000</v>
      </c>
      <c r="D68" s="162">
        <v>647819</v>
      </c>
      <c r="E68" s="162">
        <f t="shared" si="1"/>
        <v>2181</v>
      </c>
    </row>
    <row r="69" spans="1:5" x14ac:dyDescent="0.2">
      <c r="A69" s="136" t="s">
        <v>295</v>
      </c>
      <c r="B69" s="145" t="s">
        <v>1180</v>
      </c>
      <c r="C69" s="162">
        <f>Dati!C70</f>
        <v>700000</v>
      </c>
      <c r="D69" s="162">
        <v>701547</v>
      </c>
      <c r="E69" s="162">
        <f t="shared" si="1"/>
        <v>-1547</v>
      </c>
    </row>
    <row r="70" spans="1:5" s="25" customFormat="1" x14ac:dyDescent="0.2">
      <c r="A70" s="136" t="s">
        <v>297</v>
      </c>
      <c r="B70" s="145" t="s">
        <v>1181</v>
      </c>
      <c r="C70" s="162">
        <f>Dati!C71</f>
        <v>0</v>
      </c>
      <c r="D70" s="162">
        <v>0</v>
      </c>
      <c r="E70" s="162">
        <f t="shared" si="1"/>
        <v>0</v>
      </c>
    </row>
    <row r="71" spans="1:5" s="25" customFormat="1" x14ac:dyDescent="0.2">
      <c r="A71" s="136" t="s">
        <v>298</v>
      </c>
      <c r="B71" s="145" t="s">
        <v>1182</v>
      </c>
      <c r="C71" s="162">
        <f>Dati!C72</f>
        <v>360000</v>
      </c>
      <c r="D71" s="162">
        <v>358515</v>
      </c>
      <c r="E71" s="162">
        <f t="shared" si="1"/>
        <v>1485</v>
      </c>
    </row>
    <row r="72" spans="1:5" s="25" customFormat="1" x14ac:dyDescent="0.2">
      <c r="A72" s="136" t="s">
        <v>1183</v>
      </c>
      <c r="B72" s="145" t="s">
        <v>1184</v>
      </c>
      <c r="C72" s="162">
        <f>Dati!C73</f>
        <v>0</v>
      </c>
      <c r="D72" s="162">
        <v>0</v>
      </c>
      <c r="E72" s="162">
        <f t="shared" si="1"/>
        <v>0</v>
      </c>
    </row>
    <row r="73" spans="1:5" s="25" customFormat="1" x14ac:dyDescent="0.2">
      <c r="A73" s="136" t="s">
        <v>1185</v>
      </c>
      <c r="B73" s="145" t="s">
        <v>1186</v>
      </c>
      <c r="C73" s="162">
        <f>Dati!C74</f>
        <v>0</v>
      </c>
      <c r="D73" s="162">
        <v>306</v>
      </c>
      <c r="E73" s="162">
        <f t="shared" si="1"/>
        <v>-306</v>
      </c>
    </row>
    <row r="74" spans="1:5" s="25" customFormat="1" ht="25.5" x14ac:dyDescent="0.2">
      <c r="A74" s="136" t="s">
        <v>299</v>
      </c>
      <c r="B74" s="145" t="s">
        <v>1187</v>
      </c>
      <c r="C74" s="162">
        <f>Dati!C75</f>
        <v>0</v>
      </c>
      <c r="D74" s="162">
        <v>0</v>
      </c>
      <c r="E74" s="162">
        <f t="shared" si="1"/>
        <v>0</v>
      </c>
    </row>
    <row r="75" spans="1:5" s="25" customFormat="1" x14ac:dyDescent="0.2">
      <c r="A75" s="136" t="s">
        <v>300</v>
      </c>
      <c r="B75" s="145" t="s">
        <v>1188</v>
      </c>
      <c r="C75" s="162">
        <f>Dati!C76</f>
        <v>0</v>
      </c>
      <c r="D75" s="162">
        <v>0</v>
      </c>
      <c r="E75" s="162">
        <f t="shared" si="1"/>
        <v>0</v>
      </c>
    </row>
    <row r="76" spans="1:5" s="25" customFormat="1" ht="25.5" x14ac:dyDescent="0.2">
      <c r="A76" s="136" t="s">
        <v>1189</v>
      </c>
      <c r="B76" s="145" t="s">
        <v>1190</v>
      </c>
      <c r="C76" s="162">
        <f>Dati!C77</f>
        <v>0</v>
      </c>
      <c r="D76" s="162">
        <v>0</v>
      </c>
      <c r="E76" s="162">
        <f t="shared" si="1"/>
        <v>0</v>
      </c>
    </row>
    <row r="77" spans="1:5" ht="25.5" x14ac:dyDescent="0.2">
      <c r="A77" s="141" t="s">
        <v>301</v>
      </c>
      <c r="B77" s="154" t="s">
        <v>1191</v>
      </c>
      <c r="C77" s="160">
        <f>SUM(C78:C79)</f>
        <v>10000</v>
      </c>
      <c r="D77" s="160">
        <v>7000</v>
      </c>
      <c r="E77" s="160">
        <f t="shared" si="1"/>
        <v>3000</v>
      </c>
    </row>
    <row r="78" spans="1:5" s="25" customFormat="1" ht="25.5" x14ac:dyDescent="0.2">
      <c r="A78" s="136" t="s">
        <v>302</v>
      </c>
      <c r="B78" s="143" t="s">
        <v>1192</v>
      </c>
      <c r="C78" s="162">
        <f>Dati!C79</f>
        <v>0</v>
      </c>
      <c r="D78" s="162">
        <v>0</v>
      </c>
      <c r="E78" s="162">
        <f t="shared" si="1"/>
        <v>0</v>
      </c>
    </row>
    <row r="79" spans="1:5" ht="25.5" x14ac:dyDescent="0.2">
      <c r="A79" s="136" t="s">
        <v>303</v>
      </c>
      <c r="B79" s="143" t="s">
        <v>1193</v>
      </c>
      <c r="C79" s="162">
        <f>Dati!C80</f>
        <v>10000</v>
      </c>
      <c r="D79" s="162">
        <v>7000</v>
      </c>
      <c r="E79" s="162">
        <f t="shared" si="1"/>
        <v>3000</v>
      </c>
    </row>
    <row r="80" spans="1:5" s="25" customFormat="1" ht="25.5" x14ac:dyDescent="0.2">
      <c r="A80" s="136" t="s">
        <v>304</v>
      </c>
      <c r="B80" s="145" t="s">
        <v>1194</v>
      </c>
      <c r="C80" s="162">
        <f>Dati!C81</f>
        <v>900000</v>
      </c>
      <c r="D80" s="162">
        <v>900000</v>
      </c>
      <c r="E80" s="162">
        <f t="shared" si="1"/>
        <v>0</v>
      </c>
    </row>
    <row r="81" spans="1:5" s="25" customFormat="1" ht="25.5" x14ac:dyDescent="0.2">
      <c r="A81" s="136" t="s">
        <v>1195</v>
      </c>
      <c r="B81" s="145" t="s">
        <v>1196</v>
      </c>
      <c r="C81" s="162">
        <f>Dati!C82</f>
        <v>0</v>
      </c>
      <c r="D81" s="162">
        <v>0</v>
      </c>
      <c r="E81" s="162">
        <f t="shared" si="1"/>
        <v>0</v>
      </c>
    </row>
    <row r="82" spans="1:5" ht="25.5" x14ac:dyDescent="0.2">
      <c r="A82" s="136" t="s">
        <v>1197</v>
      </c>
      <c r="B82" s="145" t="s">
        <v>1198</v>
      </c>
      <c r="C82" s="162">
        <f>Dati!C83</f>
        <v>0</v>
      </c>
      <c r="D82" s="162">
        <v>0</v>
      </c>
      <c r="E82" s="162">
        <f t="shared" si="1"/>
        <v>0</v>
      </c>
    </row>
    <row r="83" spans="1:5" s="25" customFormat="1" ht="38.25" x14ac:dyDescent="0.2">
      <c r="A83" s="122" t="s">
        <v>305</v>
      </c>
      <c r="B83" s="125" t="s">
        <v>306</v>
      </c>
      <c r="C83" s="161">
        <f>SUM(C84:C88)</f>
        <v>19688623</v>
      </c>
      <c r="D83" s="161">
        <v>23352912.52</v>
      </c>
      <c r="E83" s="161">
        <f t="shared" si="1"/>
        <v>-3664289.5199999996</v>
      </c>
    </row>
    <row r="84" spans="1:5" s="25" customFormat="1" ht="25.5" x14ac:dyDescent="0.2">
      <c r="A84" s="136" t="s">
        <v>307</v>
      </c>
      <c r="B84" s="138" t="s">
        <v>309</v>
      </c>
      <c r="C84" s="162">
        <f>Dati!C85</f>
        <v>19532623</v>
      </c>
      <c r="D84" s="162">
        <v>23203512.280000001</v>
      </c>
      <c r="E84" s="162">
        <f t="shared" si="1"/>
        <v>-3670889.2800000012</v>
      </c>
    </row>
    <row r="85" spans="1:5" s="25" customFormat="1" ht="25.5" x14ac:dyDescent="0.2">
      <c r="A85" s="136" t="s">
        <v>310</v>
      </c>
      <c r="B85" s="138" t="s">
        <v>311</v>
      </c>
      <c r="C85" s="162">
        <f>Dati!C86</f>
        <v>140000</v>
      </c>
      <c r="D85" s="162">
        <v>137127</v>
      </c>
      <c r="E85" s="162">
        <f t="shared" si="1"/>
        <v>2873</v>
      </c>
    </row>
    <row r="86" spans="1:5" ht="25.5" x14ac:dyDescent="0.2">
      <c r="A86" s="136" t="s">
        <v>1199</v>
      </c>
      <c r="B86" s="138" t="s">
        <v>1200</v>
      </c>
      <c r="C86" s="162">
        <f>Dati!C87</f>
        <v>0</v>
      </c>
      <c r="D86" s="162">
        <v>0</v>
      </c>
      <c r="E86" s="162">
        <f t="shared" si="1"/>
        <v>0</v>
      </c>
    </row>
    <row r="87" spans="1:5" s="25" customFormat="1" ht="25.5" x14ac:dyDescent="0.2">
      <c r="A87" s="136" t="s">
        <v>312</v>
      </c>
      <c r="B87" s="138" t="s">
        <v>1201</v>
      </c>
      <c r="C87" s="162">
        <f>Dati!C88</f>
        <v>0</v>
      </c>
      <c r="D87" s="162">
        <v>0</v>
      </c>
      <c r="E87" s="162">
        <f t="shared" si="1"/>
        <v>0</v>
      </c>
    </row>
    <row r="88" spans="1:5" s="25" customFormat="1" ht="25.5" x14ac:dyDescent="0.2">
      <c r="A88" s="136" t="s">
        <v>313</v>
      </c>
      <c r="B88" s="138" t="s">
        <v>1202</v>
      </c>
      <c r="C88" s="162">
        <f>Dati!C89</f>
        <v>16000</v>
      </c>
      <c r="D88" s="162">
        <v>12273.24</v>
      </c>
      <c r="E88" s="162">
        <f t="shared" si="1"/>
        <v>3726.76</v>
      </c>
    </row>
    <row r="89" spans="1:5" s="25" customFormat="1" ht="25.5" x14ac:dyDescent="0.2">
      <c r="A89" s="122" t="s">
        <v>314</v>
      </c>
      <c r="B89" s="125" t="s">
        <v>315</v>
      </c>
      <c r="C89" s="161">
        <f>Dati!C90</f>
        <v>8040042.8799999999</v>
      </c>
      <c r="D89" s="161">
        <v>7512029.5300000003</v>
      </c>
      <c r="E89" s="161">
        <f t="shared" si="1"/>
        <v>528013.34999999963</v>
      </c>
    </row>
    <row r="90" spans="1:5" x14ac:dyDescent="0.2">
      <c r="A90" s="122" t="s">
        <v>316</v>
      </c>
      <c r="B90" s="125" t="s">
        <v>317</v>
      </c>
      <c r="C90" s="161">
        <f>SUM(C91:C97)</f>
        <v>5766700</v>
      </c>
      <c r="D90" s="161">
        <v>5503684.7800000003</v>
      </c>
      <c r="E90" s="161">
        <f t="shared" si="1"/>
        <v>263015.21999999974</v>
      </c>
    </row>
    <row r="91" spans="1:5" x14ac:dyDescent="0.2">
      <c r="A91" s="136" t="s">
        <v>318</v>
      </c>
      <c r="B91" s="138" t="s">
        <v>319</v>
      </c>
      <c r="C91" s="162">
        <f>Dati!C92</f>
        <v>250000</v>
      </c>
      <c r="D91" s="162">
        <v>169417.19</v>
      </c>
      <c r="E91" s="162">
        <f t="shared" si="1"/>
        <v>80582.81</v>
      </c>
    </row>
    <row r="92" spans="1:5" s="25" customFormat="1" x14ac:dyDescent="0.2">
      <c r="A92" s="136" t="s">
        <v>320</v>
      </c>
      <c r="B92" s="138" t="s">
        <v>321</v>
      </c>
      <c r="C92" s="162">
        <f>Dati!C93</f>
        <v>5500000</v>
      </c>
      <c r="D92" s="162">
        <v>5322013.59</v>
      </c>
      <c r="E92" s="162">
        <f t="shared" si="1"/>
        <v>177986.41000000015</v>
      </c>
    </row>
    <row r="93" spans="1:5" s="25" customFormat="1" x14ac:dyDescent="0.2">
      <c r="A93" s="136" t="s">
        <v>322</v>
      </c>
      <c r="B93" s="138" t="s">
        <v>323</v>
      </c>
      <c r="C93" s="162">
        <f>Dati!C94</f>
        <v>14000</v>
      </c>
      <c r="D93" s="162">
        <v>12254</v>
      </c>
      <c r="E93" s="162">
        <f t="shared" si="1"/>
        <v>1746</v>
      </c>
    </row>
    <row r="94" spans="1:5" s="25" customFormat="1" ht="25.5" x14ac:dyDescent="0.2">
      <c r="A94" s="136" t="s">
        <v>324</v>
      </c>
      <c r="B94" s="138" t="s">
        <v>325</v>
      </c>
      <c r="C94" s="162">
        <f>Dati!C95</f>
        <v>0</v>
      </c>
      <c r="D94" s="162">
        <v>0</v>
      </c>
      <c r="E94" s="162">
        <f t="shared" si="1"/>
        <v>0</v>
      </c>
    </row>
    <row r="95" spans="1:5" s="25" customFormat="1" ht="25.5" x14ac:dyDescent="0.2">
      <c r="A95" s="136" t="s">
        <v>326</v>
      </c>
      <c r="B95" s="138" t="s">
        <v>327</v>
      </c>
      <c r="C95" s="162">
        <f>Dati!C96</f>
        <v>2700</v>
      </c>
      <c r="D95" s="162">
        <v>0</v>
      </c>
      <c r="E95" s="162">
        <f t="shared" si="1"/>
        <v>2700</v>
      </c>
    </row>
    <row r="96" spans="1:5" x14ac:dyDescent="0.2">
      <c r="A96" s="136" t="s">
        <v>328</v>
      </c>
      <c r="B96" s="138" t="s">
        <v>329</v>
      </c>
      <c r="C96" s="162">
        <f>Dati!C97</f>
        <v>0</v>
      </c>
      <c r="D96" s="162">
        <v>0</v>
      </c>
      <c r="E96" s="162">
        <f t="shared" si="1"/>
        <v>0</v>
      </c>
    </row>
    <row r="97" spans="1:5" s="25" customFormat="1" ht="25.5" x14ac:dyDescent="0.2">
      <c r="A97" s="136" t="s">
        <v>330</v>
      </c>
      <c r="B97" s="138" t="s">
        <v>331</v>
      </c>
      <c r="C97" s="162">
        <f>Dati!C98</f>
        <v>0</v>
      </c>
      <c r="D97" s="162">
        <v>0</v>
      </c>
      <c r="E97" s="162">
        <f t="shared" si="1"/>
        <v>0</v>
      </c>
    </row>
    <row r="98" spans="1:5" s="25" customFormat="1" x14ac:dyDescent="0.2">
      <c r="A98" s="122" t="s">
        <v>332</v>
      </c>
      <c r="B98" s="124" t="s">
        <v>333</v>
      </c>
      <c r="C98" s="161">
        <f>C99+C100+C103+C108+C112</f>
        <v>18760049.507223245</v>
      </c>
      <c r="D98" s="161">
        <v>27643893.030000001</v>
      </c>
      <c r="E98" s="161">
        <f t="shared" si="1"/>
        <v>-8883843.5227767564</v>
      </c>
    </row>
    <row r="99" spans="1:5" s="25" customFormat="1" x14ac:dyDescent="0.2">
      <c r="A99" s="120" t="s">
        <v>334</v>
      </c>
      <c r="B99" s="2" t="s">
        <v>335</v>
      </c>
      <c r="C99" s="162">
        <f>Dati!C100</f>
        <v>140000</v>
      </c>
      <c r="D99" s="162">
        <v>146354.6</v>
      </c>
      <c r="E99" s="162">
        <f t="shared" si="1"/>
        <v>-6354.6000000000058</v>
      </c>
    </row>
    <row r="100" spans="1:5" x14ac:dyDescent="0.2">
      <c r="A100" s="122" t="s">
        <v>336</v>
      </c>
      <c r="B100" s="125" t="s">
        <v>337</v>
      </c>
      <c r="C100" s="161">
        <f>SUM(C101:C102)</f>
        <v>20000</v>
      </c>
      <c r="D100" s="161">
        <v>20000</v>
      </c>
      <c r="E100" s="161">
        <f t="shared" si="1"/>
        <v>0</v>
      </c>
    </row>
    <row r="101" spans="1:5" s="25" customFormat="1" ht="25.5" x14ac:dyDescent="0.2">
      <c r="A101" s="136" t="s">
        <v>338</v>
      </c>
      <c r="B101" s="138" t="s">
        <v>339</v>
      </c>
      <c r="C101" s="162">
        <f>Dati!C102</f>
        <v>0</v>
      </c>
      <c r="D101" s="162">
        <v>0</v>
      </c>
      <c r="E101" s="162">
        <f t="shared" si="1"/>
        <v>0</v>
      </c>
    </row>
    <row r="102" spans="1:5" s="25" customFormat="1" x14ac:dyDescent="0.2">
      <c r="A102" s="136" t="s">
        <v>340</v>
      </c>
      <c r="B102" s="138" t="s">
        <v>341</v>
      </c>
      <c r="C102" s="162">
        <f>Dati!C103</f>
        <v>20000</v>
      </c>
      <c r="D102" s="162">
        <v>20000</v>
      </c>
      <c r="E102" s="162">
        <f t="shared" si="1"/>
        <v>0</v>
      </c>
    </row>
    <row r="103" spans="1:5" s="25" customFormat="1" ht="25.5" x14ac:dyDescent="0.2">
      <c r="A103" s="122" t="s">
        <v>342</v>
      </c>
      <c r="B103" s="125" t="s">
        <v>343</v>
      </c>
      <c r="C103" s="161">
        <f>SUM(C104:C107)</f>
        <v>5878379.5199999996</v>
      </c>
      <c r="D103" s="161">
        <v>6098474.54</v>
      </c>
      <c r="E103" s="161">
        <f t="shared" si="1"/>
        <v>-220095.02000000048</v>
      </c>
    </row>
    <row r="104" spans="1:5" s="25" customFormat="1" ht="25.5" x14ac:dyDescent="0.2">
      <c r="A104" s="136" t="s">
        <v>344</v>
      </c>
      <c r="B104" s="138" t="s">
        <v>345</v>
      </c>
      <c r="C104" s="162">
        <f>Dati!C105</f>
        <v>1360320</v>
      </c>
      <c r="D104" s="162">
        <v>1790917.82</v>
      </c>
      <c r="E104" s="162">
        <f t="shared" si="1"/>
        <v>-430597.82000000007</v>
      </c>
    </row>
    <row r="105" spans="1:5" s="25" customFormat="1" ht="25.5" x14ac:dyDescent="0.2">
      <c r="A105" s="136" t="s">
        <v>346</v>
      </c>
      <c r="B105" s="138" t="s">
        <v>347</v>
      </c>
      <c r="C105" s="162">
        <f>Dati!C106</f>
        <v>0</v>
      </c>
      <c r="D105" s="162">
        <v>0</v>
      </c>
      <c r="E105" s="162">
        <f t="shared" si="1"/>
        <v>0</v>
      </c>
    </row>
    <row r="106" spans="1:5" s="25" customFormat="1" ht="25.5" x14ac:dyDescent="0.2">
      <c r="A106" s="136" t="s">
        <v>348</v>
      </c>
      <c r="B106" s="138" t="s">
        <v>349</v>
      </c>
      <c r="C106" s="162">
        <f>Dati!C107</f>
        <v>4518059.5199999996</v>
      </c>
      <c r="D106" s="162">
        <v>4307556.72</v>
      </c>
      <c r="E106" s="162">
        <f t="shared" si="1"/>
        <v>210502.79999999981</v>
      </c>
    </row>
    <row r="107" spans="1:5" s="25" customFormat="1" x14ac:dyDescent="0.2">
      <c r="A107" s="136" t="s">
        <v>1203</v>
      </c>
      <c r="B107" s="138" t="s">
        <v>1204</v>
      </c>
      <c r="C107" s="162">
        <f>Dati!C108</f>
        <v>0</v>
      </c>
      <c r="D107" s="162">
        <v>0</v>
      </c>
      <c r="E107" s="162">
        <f t="shared" si="1"/>
        <v>0</v>
      </c>
    </row>
    <row r="108" spans="1:5" x14ac:dyDescent="0.2">
      <c r="A108" s="122" t="s">
        <v>350</v>
      </c>
      <c r="B108" s="125" t="s">
        <v>351</v>
      </c>
      <c r="C108" s="161">
        <f>SUM(C109:C111)</f>
        <v>11346458.807223246</v>
      </c>
      <c r="D108" s="161">
        <v>11822872.359999999</v>
      </c>
      <c r="E108" s="161">
        <f t="shared" si="1"/>
        <v>-476413.5527767539</v>
      </c>
    </row>
    <row r="109" spans="1:5" s="25" customFormat="1" ht="25.5" x14ac:dyDescent="0.2">
      <c r="A109" s="136" t="s">
        <v>352</v>
      </c>
      <c r="B109" s="138" t="s">
        <v>353</v>
      </c>
      <c r="C109" s="162">
        <f>Dati!C110</f>
        <v>9094198.9672232457</v>
      </c>
      <c r="D109" s="162">
        <v>9257104.7300000004</v>
      </c>
      <c r="E109" s="162">
        <f t="shared" si="1"/>
        <v>-162905.7627767548</v>
      </c>
    </row>
    <row r="110" spans="1:5" s="25" customFormat="1" x14ac:dyDescent="0.2">
      <c r="A110" s="136" t="s">
        <v>354</v>
      </c>
      <c r="B110" s="138" t="s">
        <v>355</v>
      </c>
      <c r="C110" s="162">
        <f>Dati!C111</f>
        <v>315000</v>
      </c>
      <c r="D110" s="162">
        <v>255771.17</v>
      </c>
      <c r="E110" s="162">
        <f t="shared" si="1"/>
        <v>59228.829999999987</v>
      </c>
    </row>
    <row r="111" spans="1:5" s="25" customFormat="1" x14ac:dyDescent="0.2">
      <c r="A111" s="136" t="s">
        <v>356</v>
      </c>
      <c r="B111" s="138" t="s">
        <v>357</v>
      </c>
      <c r="C111" s="162">
        <f>Dati!C112</f>
        <v>1937259.84</v>
      </c>
      <c r="D111" s="162">
        <v>2309996.46</v>
      </c>
      <c r="E111" s="162">
        <f t="shared" si="1"/>
        <v>-372736.61999999988</v>
      </c>
    </row>
    <row r="112" spans="1:5" x14ac:dyDescent="0.2">
      <c r="A112" s="122" t="s">
        <v>358</v>
      </c>
      <c r="B112" s="125" t="s">
        <v>359</v>
      </c>
      <c r="C112" s="161">
        <f>+C113+C117+C118</f>
        <v>1375211.18</v>
      </c>
      <c r="D112" s="161">
        <v>9556191.5299999993</v>
      </c>
      <c r="E112" s="161">
        <f t="shared" si="1"/>
        <v>-8180980.3499999996</v>
      </c>
    </row>
    <row r="113" spans="1:5" x14ac:dyDescent="0.2">
      <c r="A113" s="141" t="s">
        <v>360</v>
      </c>
      <c r="B113" s="152" t="s">
        <v>361</v>
      </c>
      <c r="C113" s="160">
        <f>SUM(C114:C116)</f>
        <v>0</v>
      </c>
      <c r="D113" s="160">
        <v>7930000</v>
      </c>
      <c r="E113" s="160">
        <f t="shared" si="1"/>
        <v>-7930000</v>
      </c>
    </row>
    <row r="114" spans="1:5" ht="25.5" x14ac:dyDescent="0.2">
      <c r="A114" s="136" t="s">
        <v>362</v>
      </c>
      <c r="B114" s="145" t="s">
        <v>363</v>
      </c>
      <c r="C114" s="162">
        <f>Dati!C115</f>
        <v>0</v>
      </c>
      <c r="D114" s="162">
        <v>0</v>
      </c>
      <c r="E114" s="162">
        <f t="shared" si="1"/>
        <v>0</v>
      </c>
    </row>
    <row r="115" spans="1:5" ht="25.5" x14ac:dyDescent="0.2">
      <c r="A115" s="136" t="s">
        <v>364</v>
      </c>
      <c r="B115" s="145" t="s">
        <v>365</v>
      </c>
      <c r="C115" s="162">
        <f>Dati!C116</f>
        <v>0</v>
      </c>
      <c r="D115" s="162">
        <v>7930000</v>
      </c>
      <c r="E115" s="162">
        <f t="shared" si="1"/>
        <v>-7930000</v>
      </c>
    </row>
    <row r="116" spans="1:5" x14ac:dyDescent="0.2">
      <c r="A116" s="136" t="s">
        <v>366</v>
      </c>
      <c r="B116" s="145" t="s">
        <v>580</v>
      </c>
      <c r="C116" s="162">
        <f>Dati!C117</f>
        <v>0</v>
      </c>
      <c r="D116" s="162">
        <v>0</v>
      </c>
      <c r="E116" s="162">
        <f t="shared" si="1"/>
        <v>0</v>
      </c>
    </row>
    <row r="117" spans="1:5" s="25" customFormat="1" x14ac:dyDescent="0.2">
      <c r="A117" s="136" t="s">
        <v>1205</v>
      </c>
      <c r="B117" s="138" t="s">
        <v>1206</v>
      </c>
      <c r="C117" s="162">
        <f>Dati!C118</f>
        <v>0</v>
      </c>
      <c r="D117" s="162">
        <v>0</v>
      </c>
      <c r="E117" s="162">
        <f t="shared" si="1"/>
        <v>0</v>
      </c>
    </row>
    <row r="118" spans="1:5" s="25" customFormat="1" x14ac:dyDescent="0.2">
      <c r="A118" s="136" t="s">
        <v>367</v>
      </c>
      <c r="B118" s="138" t="s">
        <v>1207</v>
      </c>
      <c r="C118" s="162">
        <f>Dati!C119</f>
        <v>1375211.18</v>
      </c>
      <c r="D118" s="162">
        <v>1626191.53</v>
      </c>
      <c r="E118" s="162">
        <f t="shared" si="1"/>
        <v>-250980.35000000009</v>
      </c>
    </row>
    <row r="119" spans="1:5" s="25" customFormat="1" x14ac:dyDescent="0.2">
      <c r="A119" s="122" t="s">
        <v>368</v>
      </c>
      <c r="B119" s="124" t="s">
        <v>369</v>
      </c>
      <c r="C119" s="161">
        <f>SUM(C120:C122)</f>
        <v>19350000</v>
      </c>
      <c r="D119" s="161">
        <v>19499145.57</v>
      </c>
      <c r="E119" s="161">
        <f t="shared" si="1"/>
        <v>-149145.5700000003</v>
      </c>
    </row>
    <row r="120" spans="1:5" ht="25.5" x14ac:dyDescent="0.2">
      <c r="A120" s="136" t="s">
        <v>370</v>
      </c>
      <c r="B120" s="137" t="s">
        <v>371</v>
      </c>
      <c r="C120" s="162">
        <f>Dati!C121</f>
        <v>19000000</v>
      </c>
      <c r="D120" s="162">
        <v>19236527.43</v>
      </c>
      <c r="E120" s="162">
        <f t="shared" si="1"/>
        <v>-236527.4299999997</v>
      </c>
    </row>
    <row r="121" spans="1:5" s="25" customFormat="1" ht="25.5" x14ac:dyDescent="0.2">
      <c r="A121" s="136" t="s">
        <v>372</v>
      </c>
      <c r="B121" s="137" t="s">
        <v>373</v>
      </c>
      <c r="C121" s="162">
        <f>Dati!C122</f>
        <v>350000</v>
      </c>
      <c r="D121" s="162">
        <v>262618.14</v>
      </c>
      <c r="E121" s="162">
        <f t="shared" si="1"/>
        <v>87381.859999999986</v>
      </c>
    </row>
    <row r="122" spans="1:5" s="25" customFormat="1" x14ac:dyDescent="0.2">
      <c r="A122" s="136" t="s">
        <v>374</v>
      </c>
      <c r="B122" s="137" t="s">
        <v>375</v>
      </c>
      <c r="C122" s="162">
        <f>Dati!C123</f>
        <v>0</v>
      </c>
      <c r="D122" s="162">
        <v>0</v>
      </c>
      <c r="E122" s="162">
        <f t="shared" si="1"/>
        <v>0</v>
      </c>
    </row>
    <row r="123" spans="1:5" s="25" customFormat="1" x14ac:dyDescent="0.2">
      <c r="A123" s="122" t="s">
        <v>376</v>
      </c>
      <c r="B123" s="124" t="s">
        <v>377</v>
      </c>
      <c r="C123" s="161">
        <f>SUM(C124:C129)</f>
        <v>13500000</v>
      </c>
      <c r="D123" s="161">
        <v>13368160.02</v>
      </c>
      <c r="E123" s="161">
        <f t="shared" si="1"/>
        <v>131839.98000000045</v>
      </c>
    </row>
    <row r="124" spans="1:5" x14ac:dyDescent="0.2">
      <c r="A124" s="136" t="s">
        <v>378</v>
      </c>
      <c r="B124" s="137" t="s">
        <v>379</v>
      </c>
      <c r="C124" s="162">
        <f>Dati!C125</f>
        <v>5700000</v>
      </c>
      <c r="D124" s="162">
        <v>5608569.0999999996</v>
      </c>
      <c r="E124" s="162">
        <f t="shared" si="1"/>
        <v>91430.900000000373</v>
      </c>
    </row>
    <row r="125" spans="1:5" s="25" customFormat="1" x14ac:dyDescent="0.2">
      <c r="A125" s="136" t="s">
        <v>380</v>
      </c>
      <c r="B125" s="137" t="s">
        <v>381</v>
      </c>
      <c r="C125" s="162">
        <f>Dati!C126</f>
        <v>600000</v>
      </c>
      <c r="D125" s="162">
        <v>415367.91</v>
      </c>
      <c r="E125" s="162">
        <f t="shared" si="1"/>
        <v>184632.09000000003</v>
      </c>
    </row>
    <row r="126" spans="1:5" s="25" customFormat="1" x14ac:dyDescent="0.2">
      <c r="A126" s="136" t="s">
        <v>382</v>
      </c>
      <c r="B126" s="137" t="s">
        <v>383</v>
      </c>
      <c r="C126" s="162">
        <f>Dati!C127</f>
        <v>1700000</v>
      </c>
      <c r="D126" s="162">
        <v>1608388.46</v>
      </c>
      <c r="E126" s="162">
        <f t="shared" si="1"/>
        <v>91611.540000000037</v>
      </c>
    </row>
    <row r="127" spans="1:5" s="25" customFormat="1" ht="25.5" x14ac:dyDescent="0.2">
      <c r="A127" s="136" t="s">
        <v>384</v>
      </c>
      <c r="B127" s="137" t="s">
        <v>385</v>
      </c>
      <c r="C127" s="162">
        <f>Dati!C128</f>
        <v>1700000</v>
      </c>
      <c r="D127" s="162">
        <v>1688879.03</v>
      </c>
      <c r="E127" s="162">
        <f t="shared" si="1"/>
        <v>11120.969999999972</v>
      </c>
    </row>
    <row r="128" spans="1:5" s="25" customFormat="1" ht="25.5" x14ac:dyDescent="0.2">
      <c r="A128" s="136" t="s">
        <v>386</v>
      </c>
      <c r="B128" s="137" t="s">
        <v>387</v>
      </c>
      <c r="C128" s="162">
        <f>Dati!C129</f>
        <v>400000</v>
      </c>
      <c r="D128" s="162">
        <v>906836.66</v>
      </c>
      <c r="E128" s="162">
        <f t="shared" si="1"/>
        <v>-506836.66000000003</v>
      </c>
    </row>
    <row r="129" spans="1:5" s="25" customFormat="1" x14ac:dyDescent="0.2">
      <c r="A129" s="136" t="s">
        <v>388</v>
      </c>
      <c r="B129" s="137" t="s">
        <v>389</v>
      </c>
      <c r="C129" s="162">
        <f>Dati!C130</f>
        <v>3400000</v>
      </c>
      <c r="D129" s="162">
        <v>3140118.86</v>
      </c>
      <c r="E129" s="162">
        <f t="shared" si="1"/>
        <v>259881.14000000013</v>
      </c>
    </row>
    <row r="130" spans="1:5" s="25" customFormat="1" x14ac:dyDescent="0.2">
      <c r="A130" s="120" t="s">
        <v>390</v>
      </c>
      <c r="B130" s="140" t="s">
        <v>391</v>
      </c>
      <c r="C130" s="163">
        <f>Dati!C131</f>
        <v>0</v>
      </c>
      <c r="D130" s="163">
        <v>0</v>
      </c>
      <c r="E130" s="163">
        <f t="shared" si="1"/>
        <v>0</v>
      </c>
    </row>
    <row r="131" spans="1:5" s="25" customFormat="1" x14ac:dyDescent="0.2">
      <c r="A131" s="122" t="s">
        <v>392</v>
      </c>
      <c r="B131" s="124" t="s">
        <v>393</v>
      </c>
      <c r="C131" s="161">
        <f>SUM(C132:C134)</f>
        <v>3434994.83</v>
      </c>
      <c r="D131" s="161">
        <v>3382636.2399999998</v>
      </c>
      <c r="E131" s="161">
        <f t="shared" ref="E131:E194" si="2">C131-D131</f>
        <v>52358.590000000317</v>
      </c>
    </row>
    <row r="132" spans="1:5" s="25" customFormat="1" x14ac:dyDescent="0.2">
      <c r="A132" s="120" t="s">
        <v>394</v>
      </c>
      <c r="B132" s="137" t="s">
        <v>395</v>
      </c>
      <c r="C132" s="162">
        <f>Dati!C133</f>
        <v>58299</v>
      </c>
      <c r="D132" s="162">
        <v>106264.9</v>
      </c>
      <c r="E132" s="162">
        <f t="shared" si="2"/>
        <v>-47965.899999999994</v>
      </c>
    </row>
    <row r="133" spans="1:5" s="25" customFormat="1" x14ac:dyDescent="0.2">
      <c r="A133" s="120" t="s">
        <v>396</v>
      </c>
      <c r="B133" s="137" t="s">
        <v>397</v>
      </c>
      <c r="C133" s="162">
        <f>Dati!C134</f>
        <v>1503731</v>
      </c>
      <c r="D133" s="162">
        <v>1461670.68</v>
      </c>
      <c r="E133" s="162">
        <f t="shared" si="2"/>
        <v>42060.320000000065</v>
      </c>
    </row>
    <row r="134" spans="1:5" x14ac:dyDescent="0.2">
      <c r="A134" s="120" t="s">
        <v>398</v>
      </c>
      <c r="B134" s="137" t="s">
        <v>399</v>
      </c>
      <c r="C134" s="162">
        <f>Dati!C135</f>
        <v>1872964.83</v>
      </c>
      <c r="D134" s="162">
        <v>1814700.66</v>
      </c>
      <c r="E134" s="162">
        <f t="shared" si="2"/>
        <v>58264.170000000158</v>
      </c>
    </row>
    <row r="135" spans="1:5" s="25" customFormat="1" x14ac:dyDescent="0.2">
      <c r="A135" s="127" t="s">
        <v>400</v>
      </c>
      <c r="B135" s="128" t="s">
        <v>1051</v>
      </c>
      <c r="C135" s="164">
        <f>C3+C34+C37+C43+C98+C119+C123+C130+C131</f>
        <v>1355706609.8713844</v>
      </c>
      <c r="D135" s="164">
        <v>1373228613.7899995</v>
      </c>
      <c r="E135" s="164">
        <f t="shared" si="2"/>
        <v>-17522003.918615103</v>
      </c>
    </row>
    <row r="136" spans="1:5" s="25" customFormat="1" x14ac:dyDescent="0.2">
      <c r="A136" s="122"/>
      <c r="B136" s="123" t="s">
        <v>1052</v>
      </c>
      <c r="C136" s="160"/>
      <c r="D136" s="160"/>
      <c r="E136" s="160">
        <f t="shared" si="2"/>
        <v>0</v>
      </c>
    </row>
    <row r="137" spans="1:5" s="25" customFormat="1" x14ac:dyDescent="0.2">
      <c r="A137" s="122" t="s">
        <v>401</v>
      </c>
      <c r="B137" s="124" t="s">
        <v>1053</v>
      </c>
      <c r="C137" s="161">
        <f>C138+C168</f>
        <v>-169462616.37363636</v>
      </c>
      <c r="D137" s="161">
        <v>-165315721.54000002</v>
      </c>
      <c r="E137" s="161">
        <f t="shared" si="2"/>
        <v>-4146894.8336363435</v>
      </c>
    </row>
    <row r="138" spans="1:5" s="25" customFormat="1" x14ac:dyDescent="0.2">
      <c r="A138" s="122" t="s">
        <v>402</v>
      </c>
      <c r="B138" s="125" t="s">
        <v>1054</v>
      </c>
      <c r="C138" s="161">
        <f>C139+C147+C151+SUM(C155:C160)</f>
        <v>-166802616.37363636</v>
      </c>
      <c r="D138" s="161">
        <v>-161129977.79000002</v>
      </c>
      <c r="E138" s="161">
        <f t="shared" si="2"/>
        <v>-5672638.5836363435</v>
      </c>
    </row>
    <row r="139" spans="1:5" s="25" customFormat="1" x14ac:dyDescent="0.2">
      <c r="A139" s="141" t="s">
        <v>403</v>
      </c>
      <c r="B139" s="152" t="s">
        <v>1055</v>
      </c>
      <c r="C139" s="160">
        <f>SUM(C140:C143)</f>
        <v>-1654363.636363636</v>
      </c>
      <c r="D139" s="160">
        <v>-1682670.9500000002</v>
      </c>
      <c r="E139" s="160">
        <f t="shared" si="2"/>
        <v>28307.313636364182</v>
      </c>
    </row>
    <row r="140" spans="1:5" s="25" customFormat="1" ht="25.5" x14ac:dyDescent="0.2">
      <c r="A140" s="136" t="s">
        <v>404</v>
      </c>
      <c r="B140" s="145" t="s">
        <v>405</v>
      </c>
      <c r="C140" s="162">
        <f>Dati!C141</f>
        <v>-1286363.636363636</v>
      </c>
      <c r="D140" s="162">
        <v>-1437924.53</v>
      </c>
      <c r="E140" s="162">
        <f t="shared" si="2"/>
        <v>151560.89363636402</v>
      </c>
    </row>
    <row r="141" spans="1:5" s="25" customFormat="1" x14ac:dyDescent="0.2">
      <c r="A141" s="136" t="s">
        <v>406</v>
      </c>
      <c r="B141" s="145" t="s">
        <v>407</v>
      </c>
      <c r="C141" s="162">
        <f>Dati!C142</f>
        <v>-45000</v>
      </c>
      <c r="D141" s="162">
        <v>-28823.29</v>
      </c>
      <c r="E141" s="162">
        <f t="shared" si="2"/>
        <v>-16176.71</v>
      </c>
    </row>
    <row r="142" spans="1:5" x14ac:dyDescent="0.2">
      <c r="A142" s="136" t="s">
        <v>1208</v>
      </c>
      <c r="B142" s="145" t="s">
        <v>1209</v>
      </c>
      <c r="C142" s="162">
        <f>Dati!C143</f>
        <v>-323000</v>
      </c>
      <c r="D142" s="162">
        <v>-215923.13</v>
      </c>
      <c r="E142" s="162">
        <f t="shared" si="2"/>
        <v>-107076.87</v>
      </c>
    </row>
    <row r="143" spans="1:5" x14ac:dyDescent="0.2">
      <c r="A143" s="141" t="s">
        <v>408</v>
      </c>
      <c r="B143" s="154" t="s">
        <v>1210</v>
      </c>
      <c r="C143" s="160">
        <f>SUM(C144:C146)</f>
        <v>0</v>
      </c>
      <c r="D143" s="160">
        <v>0</v>
      </c>
      <c r="E143" s="160">
        <f t="shared" si="2"/>
        <v>0</v>
      </c>
    </row>
    <row r="144" spans="1:5" ht="25.5" x14ac:dyDescent="0.2">
      <c r="A144" s="136" t="s">
        <v>1211</v>
      </c>
      <c r="B144" s="143" t="s">
        <v>1212</v>
      </c>
      <c r="C144" s="162">
        <f>Dati!C145</f>
        <v>0</v>
      </c>
      <c r="D144" s="162">
        <v>0</v>
      </c>
      <c r="E144" s="162">
        <f t="shared" si="2"/>
        <v>0</v>
      </c>
    </row>
    <row r="145" spans="1:5" ht="25.5" x14ac:dyDescent="0.2">
      <c r="A145" s="136" t="s">
        <v>1213</v>
      </c>
      <c r="B145" s="143" t="s">
        <v>1214</v>
      </c>
      <c r="C145" s="162">
        <f>Dati!C146</f>
        <v>0</v>
      </c>
      <c r="D145" s="162">
        <v>0</v>
      </c>
      <c r="E145" s="162">
        <f t="shared" si="2"/>
        <v>0</v>
      </c>
    </row>
    <row r="146" spans="1:5" s="25" customFormat="1" x14ac:dyDescent="0.2">
      <c r="A146" s="136" t="s">
        <v>1215</v>
      </c>
      <c r="B146" s="143" t="s">
        <v>1216</v>
      </c>
      <c r="C146" s="162">
        <f>Dati!C147</f>
        <v>0</v>
      </c>
      <c r="D146" s="162">
        <v>0</v>
      </c>
      <c r="E146" s="162">
        <f t="shared" si="2"/>
        <v>0</v>
      </c>
    </row>
    <row r="147" spans="1:5" s="25" customFormat="1" x14ac:dyDescent="0.2">
      <c r="A147" s="141" t="s">
        <v>409</v>
      </c>
      <c r="B147" s="152" t="s">
        <v>410</v>
      </c>
      <c r="C147" s="160">
        <f>SUM(C148:C150)</f>
        <v>-1830000</v>
      </c>
      <c r="D147" s="160">
        <v>-1819597.7</v>
      </c>
      <c r="E147" s="160">
        <f t="shared" si="2"/>
        <v>-10402.300000000047</v>
      </c>
    </row>
    <row r="148" spans="1:5" s="25" customFormat="1" ht="25.5" x14ac:dyDescent="0.2">
      <c r="A148" s="136" t="s">
        <v>411</v>
      </c>
      <c r="B148" s="145" t="s">
        <v>412</v>
      </c>
      <c r="C148" s="162">
        <f>Dati!C149</f>
        <v>-1830000</v>
      </c>
      <c r="D148" s="162">
        <v>-1819597.7</v>
      </c>
      <c r="E148" s="162">
        <f t="shared" si="2"/>
        <v>-10402.300000000047</v>
      </c>
    </row>
    <row r="149" spans="1:5" s="25" customFormat="1" ht="25.5" x14ac:dyDescent="0.2">
      <c r="A149" s="136" t="s">
        <v>413</v>
      </c>
      <c r="B149" s="145" t="s">
        <v>414</v>
      </c>
      <c r="C149" s="162">
        <f>Dati!C150</f>
        <v>0</v>
      </c>
      <c r="D149" s="162">
        <v>0</v>
      </c>
      <c r="E149" s="162">
        <f t="shared" si="2"/>
        <v>0</v>
      </c>
    </row>
    <row r="150" spans="1:5" s="25" customFormat="1" x14ac:dyDescent="0.2">
      <c r="A150" s="136" t="s">
        <v>415</v>
      </c>
      <c r="B150" s="145" t="s">
        <v>416</v>
      </c>
      <c r="C150" s="162">
        <f>Dati!C151</f>
        <v>0</v>
      </c>
      <c r="D150" s="162">
        <v>0</v>
      </c>
      <c r="E150" s="162">
        <f t="shared" si="2"/>
        <v>0</v>
      </c>
    </row>
    <row r="151" spans="1:5" s="25" customFormat="1" x14ac:dyDescent="0.2">
      <c r="A151" s="141" t="s">
        <v>417</v>
      </c>
      <c r="B151" s="152" t="s">
        <v>418</v>
      </c>
      <c r="C151" s="160">
        <f>SUM(C152:C154)</f>
        <v>-10840681.710000001</v>
      </c>
      <c r="D151" s="160">
        <v>-13983558.74</v>
      </c>
      <c r="E151" s="160">
        <f t="shared" si="2"/>
        <v>3142877.0299999993</v>
      </c>
    </row>
    <row r="152" spans="1:5" x14ac:dyDescent="0.2">
      <c r="A152" s="136" t="s">
        <v>419</v>
      </c>
      <c r="B152" s="145" t="s">
        <v>420</v>
      </c>
      <c r="C152" s="162">
        <f>Dati!C153</f>
        <v>-3899914</v>
      </c>
      <c r="D152" s="162">
        <v>-6279399.3099999996</v>
      </c>
      <c r="E152" s="162">
        <f t="shared" si="2"/>
        <v>2379485.3099999996</v>
      </c>
    </row>
    <row r="153" spans="1:5" s="25" customFormat="1" x14ac:dyDescent="0.2">
      <c r="A153" s="136" t="s">
        <v>421</v>
      </c>
      <c r="B153" s="145" t="s">
        <v>422</v>
      </c>
      <c r="C153" s="162">
        <f>Dati!C154</f>
        <v>-1440767.71</v>
      </c>
      <c r="D153" s="162">
        <v>-1224859.95</v>
      </c>
      <c r="E153" s="162">
        <f t="shared" si="2"/>
        <v>-215907.76</v>
      </c>
    </row>
    <row r="154" spans="1:5" s="25" customFormat="1" x14ac:dyDescent="0.2">
      <c r="A154" s="136" t="s">
        <v>423</v>
      </c>
      <c r="B154" s="145" t="s">
        <v>424</v>
      </c>
      <c r="C154" s="162">
        <f>Dati!C155</f>
        <v>-5500000</v>
      </c>
      <c r="D154" s="162">
        <v>-6479299.4800000004</v>
      </c>
      <c r="E154" s="162">
        <f t="shared" si="2"/>
        <v>979299.48000000045</v>
      </c>
    </row>
    <row r="155" spans="1:5" s="25" customFormat="1" x14ac:dyDescent="0.2">
      <c r="A155" s="136" t="s">
        <v>425</v>
      </c>
      <c r="B155" s="138" t="s">
        <v>426</v>
      </c>
      <c r="C155" s="162">
        <f>Dati!C156</f>
        <v>-775</v>
      </c>
      <c r="D155" s="162">
        <v>-3850.03</v>
      </c>
      <c r="E155" s="162">
        <f t="shared" si="2"/>
        <v>3075.03</v>
      </c>
    </row>
    <row r="156" spans="1:5" x14ac:dyDescent="0.2">
      <c r="A156" s="136" t="s">
        <v>427</v>
      </c>
      <c r="B156" s="138" t="s">
        <v>428</v>
      </c>
      <c r="C156" s="162">
        <f>Dati!C157</f>
        <v>-2727272.7272727299</v>
      </c>
      <c r="D156" s="162">
        <v>-2797822.5</v>
      </c>
      <c r="E156" s="162">
        <f t="shared" si="2"/>
        <v>70549.772727270145</v>
      </c>
    </row>
    <row r="157" spans="1:5" s="25" customFormat="1" x14ac:dyDescent="0.2">
      <c r="A157" s="136" t="s">
        <v>429</v>
      </c>
      <c r="B157" s="138" t="s">
        <v>430</v>
      </c>
      <c r="C157" s="162">
        <f>Dati!C158</f>
        <v>0</v>
      </c>
      <c r="D157" s="162">
        <v>0</v>
      </c>
      <c r="E157" s="162">
        <f t="shared" si="2"/>
        <v>0</v>
      </c>
    </row>
    <row r="158" spans="1:5" s="25" customFormat="1" x14ac:dyDescent="0.2">
      <c r="A158" s="136" t="s">
        <v>431</v>
      </c>
      <c r="B158" s="138" t="s">
        <v>432</v>
      </c>
      <c r="C158" s="162">
        <f>Dati!C159</f>
        <v>-64500</v>
      </c>
      <c r="D158" s="162">
        <v>-29093.01</v>
      </c>
      <c r="E158" s="162">
        <f t="shared" si="2"/>
        <v>-35406.990000000005</v>
      </c>
    </row>
    <row r="159" spans="1:5" s="25" customFormat="1" x14ac:dyDescent="0.2">
      <c r="A159" s="136" t="s">
        <v>433</v>
      </c>
      <c r="B159" s="138" t="s">
        <v>434</v>
      </c>
      <c r="C159" s="162">
        <f>Dati!C160</f>
        <v>-2283947</v>
      </c>
      <c r="D159" s="162">
        <v>-1894096.21</v>
      </c>
      <c r="E159" s="162">
        <f t="shared" si="2"/>
        <v>-389850.79000000004</v>
      </c>
    </row>
    <row r="160" spans="1:5" s="25" customFormat="1" x14ac:dyDescent="0.2">
      <c r="A160" s="141" t="s">
        <v>435</v>
      </c>
      <c r="B160" s="152" t="s">
        <v>436</v>
      </c>
      <c r="C160" s="160">
        <f>SUM(C161:C167)</f>
        <v>-147401076.30000001</v>
      </c>
      <c r="D160" s="160">
        <v>-138919288.65000001</v>
      </c>
      <c r="E160" s="160">
        <f t="shared" si="2"/>
        <v>-8481787.650000006</v>
      </c>
    </row>
    <row r="161" spans="1:5" s="25" customFormat="1" x14ac:dyDescent="0.2">
      <c r="A161" s="136" t="s">
        <v>1217</v>
      </c>
      <c r="B161" s="145" t="s">
        <v>1218</v>
      </c>
      <c r="C161" s="162">
        <f>Dati!C162</f>
        <v>-123443908.90999998</v>
      </c>
      <c r="D161" s="162">
        <v>-114959375.61</v>
      </c>
      <c r="E161" s="162">
        <f t="shared" si="2"/>
        <v>-8484533.2999999821</v>
      </c>
    </row>
    <row r="162" spans="1:5" s="25" customFormat="1" x14ac:dyDescent="0.2">
      <c r="A162" s="136" t="s">
        <v>1219</v>
      </c>
      <c r="B162" s="145" t="s">
        <v>1220</v>
      </c>
      <c r="C162" s="162">
        <f>Dati!C163</f>
        <v>-17333397.750000004</v>
      </c>
      <c r="D162" s="162">
        <v>-17338060.129999999</v>
      </c>
      <c r="E162" s="162">
        <f t="shared" si="2"/>
        <v>4662.3799999952316</v>
      </c>
    </row>
    <row r="163" spans="1:5" s="25" customFormat="1" x14ac:dyDescent="0.2">
      <c r="A163" s="136" t="s">
        <v>1221</v>
      </c>
      <c r="B163" s="145" t="s">
        <v>1222</v>
      </c>
      <c r="C163" s="162">
        <f>Dati!C164</f>
        <v>-470966.25</v>
      </c>
      <c r="D163" s="162">
        <v>-470966.25</v>
      </c>
      <c r="E163" s="162">
        <f t="shared" si="2"/>
        <v>0</v>
      </c>
    </row>
    <row r="164" spans="1:5" s="25" customFormat="1" x14ac:dyDescent="0.2">
      <c r="A164" s="136" t="s">
        <v>1223</v>
      </c>
      <c r="B164" s="145" t="s">
        <v>1224</v>
      </c>
      <c r="C164" s="162">
        <f>Dati!C165</f>
        <v>-5938119.9199999999</v>
      </c>
      <c r="D164" s="162">
        <v>-5938119.9199999999</v>
      </c>
      <c r="E164" s="162">
        <f t="shared" si="2"/>
        <v>0</v>
      </c>
    </row>
    <row r="165" spans="1:5" s="25" customFormat="1" x14ac:dyDescent="0.2">
      <c r="A165" s="136" t="s">
        <v>1225</v>
      </c>
      <c r="B165" s="145" t="s">
        <v>1226</v>
      </c>
      <c r="C165" s="162">
        <f>Dati!C166</f>
        <v>-25029.65</v>
      </c>
      <c r="D165" s="162">
        <v>-25318.560000000001</v>
      </c>
      <c r="E165" s="162">
        <f t="shared" si="2"/>
        <v>288.90999999999985</v>
      </c>
    </row>
    <row r="166" spans="1:5" s="25" customFormat="1" x14ac:dyDescent="0.2">
      <c r="A166" s="136" t="s">
        <v>1227</v>
      </c>
      <c r="B166" s="145" t="s">
        <v>1228</v>
      </c>
      <c r="C166" s="162">
        <f>Dati!C167</f>
        <v>-8350.7099999999991</v>
      </c>
      <c r="D166" s="162">
        <v>-5965.35</v>
      </c>
      <c r="E166" s="162">
        <f t="shared" si="2"/>
        <v>-2385.3599999999988</v>
      </c>
    </row>
    <row r="167" spans="1:5" s="25" customFormat="1" x14ac:dyDescent="0.2">
      <c r="A167" s="136" t="s">
        <v>1229</v>
      </c>
      <c r="B167" s="145" t="s">
        <v>1230</v>
      </c>
      <c r="C167" s="162">
        <f>Dati!C168</f>
        <v>-181303.11</v>
      </c>
      <c r="D167" s="162">
        <v>-181482.83</v>
      </c>
      <c r="E167" s="162">
        <f t="shared" si="2"/>
        <v>179.72000000000116</v>
      </c>
    </row>
    <row r="168" spans="1:5" s="25" customFormat="1" x14ac:dyDescent="0.2">
      <c r="A168" s="122" t="s">
        <v>437</v>
      </c>
      <c r="B168" s="125" t="s">
        <v>1056</v>
      </c>
      <c r="C168" s="161">
        <f>SUM(C169:C175)</f>
        <v>-2660000</v>
      </c>
      <c r="D168" s="161">
        <v>-4185743.75</v>
      </c>
      <c r="E168" s="161">
        <f t="shared" si="2"/>
        <v>1525743.75</v>
      </c>
    </row>
    <row r="169" spans="1:5" s="25" customFormat="1" x14ac:dyDescent="0.2">
      <c r="A169" s="136" t="s">
        <v>438</v>
      </c>
      <c r="B169" s="138" t="s">
        <v>1057</v>
      </c>
      <c r="C169" s="162">
        <f>Dati!C170</f>
        <v>-60000</v>
      </c>
      <c r="D169" s="162">
        <v>-77343.14</v>
      </c>
      <c r="E169" s="162">
        <f t="shared" si="2"/>
        <v>17343.14</v>
      </c>
    </row>
    <row r="170" spans="1:5" s="25" customFormat="1" x14ac:dyDescent="0.2">
      <c r="A170" s="136" t="s">
        <v>439</v>
      </c>
      <c r="B170" s="138" t="s">
        <v>1058</v>
      </c>
      <c r="C170" s="162">
        <f>Dati!C171</f>
        <v>-200000</v>
      </c>
      <c r="D170" s="162">
        <v>-895990.71</v>
      </c>
      <c r="E170" s="162">
        <f t="shared" si="2"/>
        <v>695990.71</v>
      </c>
    </row>
    <row r="171" spans="1:5" s="25" customFormat="1" x14ac:dyDescent="0.2">
      <c r="A171" s="136" t="s">
        <v>440</v>
      </c>
      <c r="B171" s="138" t="s">
        <v>1059</v>
      </c>
      <c r="C171" s="162">
        <f>Dati!C172</f>
        <v>-850000</v>
      </c>
      <c r="D171" s="162">
        <v>-561751.81999999995</v>
      </c>
      <c r="E171" s="162">
        <f t="shared" si="2"/>
        <v>-288248.18000000005</v>
      </c>
    </row>
    <row r="172" spans="1:5" s="25" customFormat="1" x14ac:dyDescent="0.2">
      <c r="A172" s="136" t="s">
        <v>441</v>
      </c>
      <c r="B172" s="138" t="s">
        <v>1060</v>
      </c>
      <c r="C172" s="162">
        <f>Dati!C173</f>
        <v>-800000</v>
      </c>
      <c r="D172" s="162">
        <v>-1007168.5</v>
      </c>
      <c r="E172" s="162">
        <f t="shared" si="2"/>
        <v>207168.5</v>
      </c>
    </row>
    <row r="173" spans="1:5" s="25" customFormat="1" x14ac:dyDescent="0.2">
      <c r="A173" s="136" t="s">
        <v>442</v>
      </c>
      <c r="B173" s="138" t="s">
        <v>1061</v>
      </c>
      <c r="C173" s="162">
        <f>Dati!C174</f>
        <v>-350000</v>
      </c>
      <c r="D173" s="162">
        <v>-390750.62</v>
      </c>
      <c r="E173" s="162">
        <f t="shared" si="2"/>
        <v>40750.619999999995</v>
      </c>
    </row>
    <row r="174" spans="1:5" s="25" customFormat="1" x14ac:dyDescent="0.2">
      <c r="A174" s="136" t="s">
        <v>443</v>
      </c>
      <c r="B174" s="138" t="s">
        <v>444</v>
      </c>
      <c r="C174" s="162">
        <f>Dati!C175</f>
        <v>-400000</v>
      </c>
      <c r="D174" s="162">
        <v>-563282.96</v>
      </c>
      <c r="E174" s="162">
        <f t="shared" si="2"/>
        <v>163282.95999999996</v>
      </c>
    </row>
    <row r="175" spans="1:5" s="25" customFormat="1" ht="25.5" x14ac:dyDescent="0.2">
      <c r="A175" s="136" t="s">
        <v>445</v>
      </c>
      <c r="B175" s="138" t="s">
        <v>446</v>
      </c>
      <c r="C175" s="162">
        <f>Dati!C176</f>
        <v>0</v>
      </c>
      <c r="D175" s="162">
        <v>-689456</v>
      </c>
      <c r="E175" s="162">
        <f t="shared" si="2"/>
        <v>689456</v>
      </c>
    </row>
    <row r="176" spans="1:5" s="25" customFormat="1" x14ac:dyDescent="0.2">
      <c r="A176" s="122" t="s">
        <v>447</v>
      </c>
      <c r="B176" s="124" t="s">
        <v>1062</v>
      </c>
      <c r="C176" s="160">
        <f>C177+C307</f>
        <v>-908136935.44443715</v>
      </c>
      <c r="D176" s="160">
        <v>-889133484.38999999</v>
      </c>
      <c r="E176" s="160">
        <f t="shared" si="2"/>
        <v>-19003451.05443716</v>
      </c>
    </row>
    <row r="177" spans="1:5" s="25" customFormat="1" x14ac:dyDescent="0.2">
      <c r="A177" s="122" t="s">
        <v>448</v>
      </c>
      <c r="B177" s="125" t="s">
        <v>1063</v>
      </c>
      <c r="C177" s="161">
        <f>C178+C186+C190+C209+C215+C220+C225+C235+C241+C248+C254+C259+C268+C276+C284+C298+C306</f>
        <v>-836920091.70262086</v>
      </c>
      <c r="D177" s="161">
        <v>-838257997.06999993</v>
      </c>
      <c r="E177" s="161">
        <f t="shared" si="2"/>
        <v>1337905.3673790693</v>
      </c>
    </row>
    <row r="178" spans="1:5" x14ac:dyDescent="0.2">
      <c r="A178" s="122" t="s">
        <v>449</v>
      </c>
      <c r="B178" s="126" t="s">
        <v>1064</v>
      </c>
      <c r="C178" s="161">
        <f>C179+C184+C185</f>
        <v>-94100583.019999966</v>
      </c>
      <c r="D178" s="161">
        <v>-94196557.340000004</v>
      </c>
      <c r="E178" s="161">
        <f t="shared" si="2"/>
        <v>95974.320000037551</v>
      </c>
    </row>
    <row r="179" spans="1:5" s="25" customFormat="1" x14ac:dyDescent="0.2">
      <c r="A179" s="141" t="s">
        <v>450</v>
      </c>
      <c r="B179" s="154" t="s">
        <v>1065</v>
      </c>
      <c r="C179" s="160">
        <f>SUM(C180:C183)</f>
        <v>-93559899.99999997</v>
      </c>
      <c r="D179" s="160">
        <v>-93668185.310000002</v>
      </c>
      <c r="E179" s="160">
        <f t="shared" si="2"/>
        <v>108285.31000003219</v>
      </c>
    </row>
    <row r="180" spans="1:5" s="25" customFormat="1" x14ac:dyDescent="0.2">
      <c r="A180" s="136" t="s">
        <v>451</v>
      </c>
      <c r="B180" s="143" t="s">
        <v>452</v>
      </c>
      <c r="C180" s="162">
        <f>Dati!C181</f>
        <v>-68103999.99999997</v>
      </c>
      <c r="D180" s="162">
        <v>-67109443.409999996</v>
      </c>
      <c r="E180" s="162">
        <f t="shared" si="2"/>
        <v>-994556.58999997377</v>
      </c>
    </row>
    <row r="181" spans="1:5" s="25" customFormat="1" x14ac:dyDescent="0.2">
      <c r="A181" s="136" t="s">
        <v>453</v>
      </c>
      <c r="B181" s="143" t="s">
        <v>454</v>
      </c>
      <c r="C181" s="162">
        <f>Dati!C182</f>
        <v>-13048000</v>
      </c>
      <c r="D181" s="162">
        <v>-13016549.029999999</v>
      </c>
      <c r="E181" s="162">
        <f t="shared" si="2"/>
        <v>-31450.970000000671</v>
      </c>
    </row>
    <row r="182" spans="1:5" s="25" customFormat="1" x14ac:dyDescent="0.2">
      <c r="A182" s="136" t="s">
        <v>455</v>
      </c>
      <c r="B182" s="143" t="s">
        <v>456</v>
      </c>
      <c r="C182" s="162">
        <f>Dati!C183</f>
        <v>-8800000</v>
      </c>
      <c r="D182" s="162">
        <v>-9940696.8900000006</v>
      </c>
      <c r="E182" s="162">
        <f t="shared" si="2"/>
        <v>1140696.8900000006</v>
      </c>
    </row>
    <row r="183" spans="1:5" x14ac:dyDescent="0.2">
      <c r="A183" s="136" t="s">
        <v>457</v>
      </c>
      <c r="B183" s="143" t="s">
        <v>1066</v>
      </c>
      <c r="C183" s="162">
        <f>Dati!C184</f>
        <v>-3607900</v>
      </c>
      <c r="D183" s="162">
        <v>-3601495.98</v>
      </c>
      <c r="E183" s="162">
        <f t="shared" si="2"/>
        <v>-6404.0200000000186</v>
      </c>
    </row>
    <row r="184" spans="1:5" s="25" customFormat="1" ht="25.5" x14ac:dyDescent="0.2">
      <c r="A184" s="136" t="s">
        <v>458</v>
      </c>
      <c r="B184" s="145" t="s">
        <v>459</v>
      </c>
      <c r="C184" s="162">
        <f>Dati!C185</f>
        <v>-399358.02</v>
      </c>
      <c r="D184" s="162">
        <v>-389125.76</v>
      </c>
      <c r="E184" s="162">
        <f t="shared" si="2"/>
        <v>-10232.260000000009</v>
      </c>
    </row>
    <row r="185" spans="1:5" s="25" customFormat="1" ht="25.5" x14ac:dyDescent="0.2">
      <c r="A185" s="136" t="s">
        <v>460</v>
      </c>
      <c r="B185" s="145" t="s">
        <v>461</v>
      </c>
      <c r="C185" s="162">
        <f>Dati!C186</f>
        <v>-141325</v>
      </c>
      <c r="D185" s="162">
        <v>-139246.26999999999</v>
      </c>
      <c r="E185" s="162">
        <f t="shared" si="2"/>
        <v>-2078.7300000000105</v>
      </c>
    </row>
    <row r="186" spans="1:5" s="25" customFormat="1" x14ac:dyDescent="0.2">
      <c r="A186" s="122" t="s">
        <v>462</v>
      </c>
      <c r="B186" s="126" t="s">
        <v>1067</v>
      </c>
      <c r="C186" s="161">
        <f>SUM(C187:C189)</f>
        <v>-78534199.910000011</v>
      </c>
      <c r="D186" s="161">
        <v>-76721098.510000005</v>
      </c>
      <c r="E186" s="161">
        <f t="shared" si="2"/>
        <v>-1813101.400000006</v>
      </c>
    </row>
    <row r="187" spans="1:5" x14ac:dyDescent="0.2">
      <c r="A187" s="136" t="s">
        <v>463</v>
      </c>
      <c r="B187" s="145" t="s">
        <v>1068</v>
      </c>
      <c r="C187" s="162">
        <f>Dati!C188</f>
        <v>-76977541.000000015</v>
      </c>
      <c r="D187" s="162">
        <v>-75239192.280000001</v>
      </c>
      <c r="E187" s="162">
        <f t="shared" si="2"/>
        <v>-1738348.7200000137</v>
      </c>
    </row>
    <row r="188" spans="1:5" s="25" customFormat="1" ht="25.5" x14ac:dyDescent="0.2">
      <c r="A188" s="136" t="s">
        <v>464</v>
      </c>
      <c r="B188" s="145" t="s">
        <v>465</v>
      </c>
      <c r="C188" s="162">
        <f>Dati!C189</f>
        <v>-1182649.9099999999</v>
      </c>
      <c r="D188" s="162">
        <v>-1107897.56</v>
      </c>
      <c r="E188" s="162">
        <f t="shared" si="2"/>
        <v>-74752.34999999986</v>
      </c>
    </row>
    <row r="189" spans="1:5" s="25" customFormat="1" x14ac:dyDescent="0.2">
      <c r="A189" s="136" t="s">
        <v>466</v>
      </c>
      <c r="B189" s="145" t="s">
        <v>467</v>
      </c>
      <c r="C189" s="162">
        <f>Dati!C190</f>
        <v>-374009</v>
      </c>
      <c r="D189" s="162">
        <v>-374008.67</v>
      </c>
      <c r="E189" s="162">
        <f t="shared" si="2"/>
        <v>-0.33000000001629815</v>
      </c>
    </row>
    <row r="190" spans="1:5" s="25" customFormat="1" ht="25.5" x14ac:dyDescent="0.2">
      <c r="A190" s="122" t="s">
        <v>468</v>
      </c>
      <c r="B190" s="126" t="s">
        <v>1069</v>
      </c>
      <c r="C190" s="161">
        <f>SUM(C191:C198)+C207</f>
        <v>-119021322.25</v>
      </c>
      <c r="D190" s="161">
        <v>-115901113.41999999</v>
      </c>
      <c r="E190" s="161">
        <f t="shared" si="2"/>
        <v>-3120208.8300000131</v>
      </c>
    </row>
    <row r="191" spans="1:5" s="25" customFormat="1" x14ac:dyDescent="0.2">
      <c r="A191" s="136" t="s">
        <v>469</v>
      </c>
      <c r="B191" s="145" t="s">
        <v>470</v>
      </c>
      <c r="C191" s="162">
        <f>Dati!C192</f>
        <v>-62785363.769999996</v>
      </c>
      <c r="D191" s="162">
        <v>-62626678.689999998</v>
      </c>
      <c r="E191" s="162">
        <f t="shared" si="2"/>
        <v>-158685.07999999821</v>
      </c>
    </row>
    <row r="192" spans="1:5" s="25" customFormat="1" ht="25.5" x14ac:dyDescent="0.2">
      <c r="A192" s="136" t="s">
        <v>1231</v>
      </c>
      <c r="B192" s="145" t="s">
        <v>1232</v>
      </c>
      <c r="C192" s="162">
        <f>Dati!C193</f>
        <v>-5724482.4800000004</v>
      </c>
      <c r="D192" s="162">
        <v>-5643893.5499999998</v>
      </c>
      <c r="E192" s="162">
        <f t="shared" si="2"/>
        <v>-80588.930000000633</v>
      </c>
    </row>
    <row r="193" spans="1:5" ht="25.5" x14ac:dyDescent="0.2">
      <c r="A193" s="136" t="s">
        <v>471</v>
      </c>
      <c r="B193" s="145" t="s">
        <v>1233</v>
      </c>
      <c r="C193" s="162">
        <f>Dati!C194</f>
        <v>-12433686</v>
      </c>
      <c r="D193" s="162">
        <v>-11401477.93</v>
      </c>
      <c r="E193" s="162">
        <f t="shared" si="2"/>
        <v>-1032208.0700000003</v>
      </c>
    </row>
    <row r="194" spans="1:5" s="25" customFormat="1" ht="25.5" x14ac:dyDescent="0.2">
      <c r="A194" s="136" t="s">
        <v>1234</v>
      </c>
      <c r="B194" s="145" t="s">
        <v>1235</v>
      </c>
      <c r="C194" s="162">
        <f>Dati!C195</f>
        <v>-2037290</v>
      </c>
      <c r="D194" s="162">
        <v>-1595425.2</v>
      </c>
      <c r="E194" s="162">
        <f t="shared" si="2"/>
        <v>-441864.80000000005</v>
      </c>
    </row>
    <row r="195" spans="1:5" s="25" customFormat="1" x14ac:dyDescent="0.2">
      <c r="A195" s="136" t="s">
        <v>472</v>
      </c>
      <c r="B195" s="145" t="s">
        <v>1236</v>
      </c>
      <c r="C195" s="162">
        <f>Dati!C196</f>
        <v>-6115147</v>
      </c>
      <c r="D195" s="162">
        <v>-6115781.3799999999</v>
      </c>
      <c r="E195" s="162">
        <f t="shared" ref="E195:E258" si="3">C195-D195</f>
        <v>634.37999999988824</v>
      </c>
    </row>
    <row r="196" spans="1:5" s="25" customFormat="1" ht="25.5" x14ac:dyDescent="0.2">
      <c r="A196" s="136" t="s">
        <v>1237</v>
      </c>
      <c r="B196" s="145" t="s">
        <v>1238</v>
      </c>
      <c r="C196" s="162">
        <f>Dati!C197</f>
        <v>0</v>
      </c>
      <c r="D196" s="162">
        <v>0</v>
      </c>
      <c r="E196" s="162">
        <f t="shared" si="3"/>
        <v>0</v>
      </c>
    </row>
    <row r="197" spans="1:5" s="25" customFormat="1" x14ac:dyDescent="0.2">
      <c r="A197" s="136" t="s">
        <v>473</v>
      </c>
      <c r="B197" s="145" t="s">
        <v>1239</v>
      </c>
      <c r="C197" s="162">
        <f>Dati!C198</f>
        <v>-15954653.000000002</v>
      </c>
      <c r="D197" s="162">
        <v>-15569137.310000001</v>
      </c>
      <c r="E197" s="162">
        <f t="shared" si="3"/>
        <v>-385515.69000000134</v>
      </c>
    </row>
    <row r="198" spans="1:5" s="25" customFormat="1" x14ac:dyDescent="0.2">
      <c r="A198" s="141" t="s">
        <v>474</v>
      </c>
      <c r="B198" s="154" t="s">
        <v>1240</v>
      </c>
      <c r="C198" s="160">
        <f>SUM(C199:C206)</f>
        <v>-13808700</v>
      </c>
      <c r="D198" s="160">
        <v>-12804063.359999999</v>
      </c>
      <c r="E198" s="160">
        <f t="shared" si="3"/>
        <v>-1004636.6400000006</v>
      </c>
    </row>
    <row r="199" spans="1:5" ht="25.5" x14ac:dyDescent="0.2">
      <c r="A199" s="136" t="s">
        <v>475</v>
      </c>
      <c r="B199" s="143" t="s">
        <v>1241</v>
      </c>
      <c r="C199" s="162">
        <f>Dati!C200</f>
        <v>0</v>
      </c>
      <c r="D199" s="162">
        <v>0</v>
      </c>
      <c r="E199" s="162">
        <f t="shared" si="3"/>
        <v>0</v>
      </c>
    </row>
    <row r="200" spans="1:5" s="25" customFormat="1" ht="25.5" x14ac:dyDescent="0.2">
      <c r="A200" s="136" t="s">
        <v>1242</v>
      </c>
      <c r="B200" s="143" t="s">
        <v>1243</v>
      </c>
      <c r="C200" s="162">
        <f>Dati!C201</f>
        <v>0</v>
      </c>
      <c r="D200" s="162">
        <v>0</v>
      </c>
      <c r="E200" s="162">
        <f t="shared" si="3"/>
        <v>0</v>
      </c>
    </row>
    <row r="201" spans="1:5" s="25" customFormat="1" ht="25.5" x14ac:dyDescent="0.2">
      <c r="A201" s="136" t="s">
        <v>476</v>
      </c>
      <c r="B201" s="143" t="s">
        <v>1244</v>
      </c>
      <c r="C201" s="162">
        <f>Dati!C202</f>
        <v>0</v>
      </c>
      <c r="D201" s="162">
        <v>0</v>
      </c>
      <c r="E201" s="162">
        <f t="shared" si="3"/>
        <v>0</v>
      </c>
    </row>
    <row r="202" spans="1:5" s="25" customFormat="1" ht="25.5" x14ac:dyDescent="0.2">
      <c r="A202" s="136" t="s">
        <v>1245</v>
      </c>
      <c r="B202" s="143" t="s">
        <v>1246</v>
      </c>
      <c r="C202" s="162">
        <f>Dati!C203</f>
        <v>0</v>
      </c>
      <c r="D202" s="162">
        <v>0</v>
      </c>
      <c r="E202" s="162">
        <f t="shared" si="3"/>
        <v>0</v>
      </c>
    </row>
    <row r="203" spans="1:5" s="25" customFormat="1" ht="25.5" x14ac:dyDescent="0.2">
      <c r="A203" s="136" t="s">
        <v>477</v>
      </c>
      <c r="B203" s="143" t="s">
        <v>1247</v>
      </c>
      <c r="C203" s="162">
        <f>Dati!C204</f>
        <v>-5620000</v>
      </c>
      <c r="D203" s="162">
        <v>-4995777.0999999996</v>
      </c>
      <c r="E203" s="162">
        <f t="shared" si="3"/>
        <v>-624222.90000000037</v>
      </c>
    </row>
    <row r="204" spans="1:5" s="25" customFormat="1" ht="25.5" x14ac:dyDescent="0.2">
      <c r="A204" s="136" t="s">
        <v>1248</v>
      </c>
      <c r="B204" s="143" t="s">
        <v>1249</v>
      </c>
      <c r="C204" s="162">
        <f>Dati!C205</f>
        <v>0</v>
      </c>
      <c r="D204" s="162">
        <v>0</v>
      </c>
      <c r="E204" s="162">
        <f t="shared" si="3"/>
        <v>0</v>
      </c>
    </row>
    <row r="205" spans="1:5" s="25" customFormat="1" x14ac:dyDescent="0.2">
      <c r="A205" s="136" t="s">
        <v>478</v>
      </c>
      <c r="B205" s="143" t="s">
        <v>1250</v>
      </c>
      <c r="C205" s="162">
        <f>Dati!C206</f>
        <v>-8188700</v>
      </c>
      <c r="D205" s="162">
        <v>-7808286.2599999998</v>
      </c>
      <c r="E205" s="162">
        <f t="shared" si="3"/>
        <v>-380413.74000000022</v>
      </c>
    </row>
    <row r="206" spans="1:5" ht="25.5" x14ac:dyDescent="0.2">
      <c r="A206" s="136" t="s">
        <v>1251</v>
      </c>
      <c r="B206" s="143" t="s">
        <v>1252</v>
      </c>
      <c r="C206" s="162">
        <f>Dati!C207</f>
        <v>0</v>
      </c>
      <c r="D206" s="162">
        <v>0</v>
      </c>
      <c r="E206" s="162">
        <f t="shared" si="3"/>
        <v>0</v>
      </c>
    </row>
    <row r="207" spans="1:5" s="25" customFormat="1" ht="25.5" x14ac:dyDescent="0.2">
      <c r="A207" s="136" t="s">
        <v>479</v>
      </c>
      <c r="B207" s="145" t="s">
        <v>1253</v>
      </c>
      <c r="C207" s="162">
        <f>Dati!C208</f>
        <v>-162000</v>
      </c>
      <c r="D207" s="162">
        <v>-144656</v>
      </c>
      <c r="E207" s="162">
        <f t="shared" si="3"/>
        <v>-17344</v>
      </c>
    </row>
    <row r="208" spans="1:5" s="25" customFormat="1" ht="38.25" x14ac:dyDescent="0.2">
      <c r="A208" s="136" t="s">
        <v>1254</v>
      </c>
      <c r="B208" s="145" t="s">
        <v>1255</v>
      </c>
      <c r="C208" s="162">
        <f>Dati!C209</f>
        <v>0</v>
      </c>
      <c r="D208" s="162">
        <v>0</v>
      </c>
      <c r="E208" s="162">
        <f t="shared" si="3"/>
        <v>0</v>
      </c>
    </row>
    <row r="209" spans="1:5" s="25" customFormat="1" x14ac:dyDescent="0.2">
      <c r="A209" s="122" t="s">
        <v>480</v>
      </c>
      <c r="B209" s="126" t="s">
        <v>732</v>
      </c>
      <c r="C209" s="161">
        <f>SUM(C210:C214)</f>
        <v>-220000</v>
      </c>
      <c r="D209" s="161">
        <v>-187170.22</v>
      </c>
      <c r="E209" s="161">
        <f t="shared" si="3"/>
        <v>-32829.78</v>
      </c>
    </row>
    <row r="210" spans="1:5" s="25" customFormat="1" x14ac:dyDescent="0.2">
      <c r="A210" s="136" t="s">
        <v>481</v>
      </c>
      <c r="B210" s="145" t="s">
        <v>482</v>
      </c>
      <c r="C210" s="162">
        <f>Dati!C211</f>
        <v>0</v>
      </c>
      <c r="D210" s="162">
        <v>0</v>
      </c>
      <c r="E210" s="162">
        <f t="shared" si="3"/>
        <v>0</v>
      </c>
    </row>
    <row r="211" spans="1:5" s="25" customFormat="1" x14ac:dyDescent="0.2">
      <c r="A211" s="136" t="s">
        <v>483</v>
      </c>
      <c r="B211" s="145" t="s">
        <v>484</v>
      </c>
      <c r="C211" s="162">
        <f>Dati!C212</f>
        <v>0</v>
      </c>
      <c r="D211" s="162">
        <v>0</v>
      </c>
      <c r="E211" s="162">
        <f t="shared" si="3"/>
        <v>0</v>
      </c>
    </row>
    <row r="212" spans="1:5" x14ac:dyDescent="0.2">
      <c r="A212" s="136" t="s">
        <v>485</v>
      </c>
      <c r="B212" s="145" t="s">
        <v>486</v>
      </c>
      <c r="C212" s="162">
        <f>Dati!C213</f>
        <v>0</v>
      </c>
      <c r="D212" s="162">
        <v>0</v>
      </c>
      <c r="E212" s="162">
        <f t="shared" si="3"/>
        <v>0</v>
      </c>
    </row>
    <row r="213" spans="1:5" s="25" customFormat="1" x14ac:dyDescent="0.2">
      <c r="A213" s="136" t="s">
        <v>487</v>
      </c>
      <c r="B213" s="145" t="s">
        <v>488</v>
      </c>
      <c r="C213" s="162">
        <f>Dati!C214</f>
        <v>-210000</v>
      </c>
      <c r="D213" s="162">
        <v>-173625.54</v>
      </c>
      <c r="E213" s="162">
        <f t="shared" si="3"/>
        <v>-36374.459999999992</v>
      </c>
    </row>
    <row r="214" spans="1:5" s="25" customFormat="1" x14ac:dyDescent="0.2">
      <c r="A214" s="136" t="s">
        <v>489</v>
      </c>
      <c r="B214" s="145" t="s">
        <v>490</v>
      </c>
      <c r="C214" s="162">
        <f>Dati!C215</f>
        <v>-10000</v>
      </c>
      <c r="D214" s="162">
        <v>-13544.68</v>
      </c>
      <c r="E214" s="162">
        <f t="shared" si="3"/>
        <v>3544.6800000000003</v>
      </c>
    </row>
    <row r="215" spans="1:5" s="25" customFormat="1" x14ac:dyDescent="0.2">
      <c r="A215" s="122" t="s">
        <v>491</v>
      </c>
      <c r="B215" s="126" t="s">
        <v>492</v>
      </c>
      <c r="C215" s="161">
        <f>SUM(C216:C219)</f>
        <v>-4052272.5776208364</v>
      </c>
      <c r="D215" s="161">
        <v>-4400500.0399999991</v>
      </c>
      <c r="E215" s="161">
        <f t="shared" si="3"/>
        <v>348227.46237916267</v>
      </c>
    </row>
    <row r="216" spans="1:5" s="25" customFormat="1" x14ac:dyDescent="0.2">
      <c r="A216" s="136" t="s">
        <v>493</v>
      </c>
      <c r="B216" s="145" t="s">
        <v>494</v>
      </c>
      <c r="C216" s="162">
        <f>Dati!C217</f>
        <v>-137713.57999999999</v>
      </c>
      <c r="D216" s="162">
        <v>-130117.62</v>
      </c>
      <c r="E216" s="162">
        <f t="shared" si="3"/>
        <v>-7595.9599999999919</v>
      </c>
    </row>
    <row r="217" spans="1:5" x14ac:dyDescent="0.2">
      <c r="A217" s="136" t="s">
        <v>495</v>
      </c>
      <c r="B217" s="145" t="s">
        <v>496</v>
      </c>
      <c r="C217" s="162">
        <f>Dati!C218</f>
        <v>-64558.997620836497</v>
      </c>
      <c r="D217" s="162">
        <v>-67134.36</v>
      </c>
      <c r="E217" s="162">
        <f t="shared" si="3"/>
        <v>2575.3623791635036</v>
      </c>
    </row>
    <row r="218" spans="1:5" s="25" customFormat="1" x14ac:dyDescent="0.2">
      <c r="A218" s="136" t="s">
        <v>497</v>
      </c>
      <c r="B218" s="145" t="s">
        <v>498</v>
      </c>
      <c r="C218" s="162">
        <f>Dati!C219</f>
        <v>0</v>
      </c>
      <c r="D218" s="162">
        <v>0</v>
      </c>
      <c r="E218" s="162">
        <f t="shared" si="3"/>
        <v>0</v>
      </c>
    </row>
    <row r="219" spans="1:5" s="25" customFormat="1" x14ac:dyDescent="0.2">
      <c r="A219" s="136" t="s">
        <v>499</v>
      </c>
      <c r="B219" s="145" t="s">
        <v>500</v>
      </c>
      <c r="C219" s="162">
        <f>Dati!C220</f>
        <v>-3850000</v>
      </c>
      <c r="D219" s="162">
        <v>-4203248.0599999996</v>
      </c>
      <c r="E219" s="162">
        <f t="shared" si="3"/>
        <v>353248.05999999959</v>
      </c>
    </row>
    <row r="220" spans="1:5" s="25" customFormat="1" x14ac:dyDescent="0.2">
      <c r="A220" s="122" t="s">
        <v>501</v>
      </c>
      <c r="B220" s="126" t="s">
        <v>502</v>
      </c>
      <c r="C220" s="161">
        <f>SUM(C221:C224)</f>
        <v>-7793856.3399999999</v>
      </c>
      <c r="D220" s="161">
        <v>-7723326.4699999997</v>
      </c>
      <c r="E220" s="161">
        <f t="shared" si="3"/>
        <v>-70529.870000000112</v>
      </c>
    </row>
    <row r="221" spans="1:5" s="25" customFormat="1" x14ac:dyDescent="0.2">
      <c r="A221" s="136" t="s">
        <v>503</v>
      </c>
      <c r="B221" s="145" t="s">
        <v>504</v>
      </c>
      <c r="C221" s="162">
        <f>Dati!C222</f>
        <v>0</v>
      </c>
      <c r="D221" s="162">
        <v>0</v>
      </c>
      <c r="E221" s="162">
        <f t="shared" si="3"/>
        <v>0</v>
      </c>
    </row>
    <row r="222" spans="1:5" s="25" customFormat="1" x14ac:dyDescent="0.2">
      <c r="A222" s="136" t="s">
        <v>505</v>
      </c>
      <c r="B222" s="145" t="s">
        <v>506</v>
      </c>
      <c r="C222" s="162">
        <f>Dati!C223</f>
        <v>-50000</v>
      </c>
      <c r="D222" s="162">
        <v>-41467.620000000003</v>
      </c>
      <c r="E222" s="162">
        <f t="shared" si="3"/>
        <v>-8532.3799999999974</v>
      </c>
    </row>
    <row r="223" spans="1:5" x14ac:dyDescent="0.2">
      <c r="A223" s="136" t="s">
        <v>507</v>
      </c>
      <c r="B223" s="145" t="s">
        <v>508</v>
      </c>
      <c r="C223" s="162">
        <f>Dati!C224</f>
        <v>0</v>
      </c>
      <c r="D223" s="162">
        <v>0</v>
      </c>
      <c r="E223" s="162">
        <f t="shared" si="3"/>
        <v>0</v>
      </c>
    </row>
    <row r="224" spans="1:5" s="25" customFormat="1" x14ac:dyDescent="0.2">
      <c r="A224" s="136" t="s">
        <v>509</v>
      </c>
      <c r="B224" s="145" t="s">
        <v>510</v>
      </c>
      <c r="C224" s="162">
        <f>Dati!C225</f>
        <v>-7743856.3399999999</v>
      </c>
      <c r="D224" s="162">
        <v>-7681858.8499999996</v>
      </c>
      <c r="E224" s="162">
        <f t="shared" si="3"/>
        <v>-61997.490000000224</v>
      </c>
    </row>
    <row r="225" spans="1:5" s="25" customFormat="1" x14ac:dyDescent="0.2">
      <c r="A225" s="122" t="s">
        <v>511</v>
      </c>
      <c r="B225" s="126" t="s">
        <v>512</v>
      </c>
      <c r="C225" s="161">
        <f>SUM(C226:C229)+C234</f>
        <v>-321397712.63</v>
      </c>
      <c r="D225" s="161">
        <v>-322045099.31999993</v>
      </c>
      <c r="E225" s="161">
        <f t="shared" si="3"/>
        <v>647386.68999993801</v>
      </c>
    </row>
    <row r="226" spans="1:5" s="25" customFormat="1" x14ac:dyDescent="0.2">
      <c r="A226" s="136" t="s">
        <v>513</v>
      </c>
      <c r="B226" s="145" t="s">
        <v>514</v>
      </c>
      <c r="C226" s="162">
        <f>Dati!C227</f>
        <v>-197454972.94999999</v>
      </c>
      <c r="D226" s="162">
        <v>-196275629.28999999</v>
      </c>
      <c r="E226" s="162">
        <f t="shared" si="3"/>
        <v>-1179343.6599999964</v>
      </c>
    </row>
    <row r="227" spans="1:5" s="25" customFormat="1" x14ac:dyDescent="0.2">
      <c r="A227" s="136" t="s">
        <v>515</v>
      </c>
      <c r="B227" s="145" t="s">
        <v>516</v>
      </c>
      <c r="C227" s="162">
        <f>Dati!C228</f>
        <v>-45518019</v>
      </c>
      <c r="D227" s="162">
        <v>-44450068.090000004</v>
      </c>
      <c r="E227" s="162">
        <f t="shared" si="3"/>
        <v>-1067950.9099999964</v>
      </c>
    </row>
    <row r="228" spans="1:5" s="25" customFormat="1" x14ac:dyDescent="0.2">
      <c r="A228" s="136" t="s">
        <v>517</v>
      </c>
      <c r="B228" s="145" t="s">
        <v>518</v>
      </c>
      <c r="C228" s="162">
        <f>Dati!C229</f>
        <v>-20303334</v>
      </c>
      <c r="D228" s="162">
        <v>-20303334.280000001</v>
      </c>
      <c r="E228" s="162">
        <f t="shared" si="3"/>
        <v>0.2800000011920929</v>
      </c>
    </row>
    <row r="229" spans="1:5" s="25" customFormat="1" x14ac:dyDescent="0.2">
      <c r="A229" s="141" t="s">
        <v>519</v>
      </c>
      <c r="B229" s="154" t="s">
        <v>520</v>
      </c>
      <c r="C229" s="161">
        <f>SUM(C230:C233)</f>
        <v>-38588763.68</v>
      </c>
      <c r="D229" s="161">
        <v>-37812555.379999995</v>
      </c>
      <c r="E229" s="161">
        <f t="shared" si="3"/>
        <v>-776208.30000000447</v>
      </c>
    </row>
    <row r="230" spans="1:5" s="25" customFormat="1" ht="25.5" x14ac:dyDescent="0.2">
      <c r="A230" s="136" t="s">
        <v>521</v>
      </c>
      <c r="B230" s="143" t="s">
        <v>522</v>
      </c>
      <c r="C230" s="162">
        <f>Dati!C231</f>
        <v>0</v>
      </c>
      <c r="D230" s="162">
        <v>0</v>
      </c>
      <c r="E230" s="162">
        <f t="shared" si="3"/>
        <v>0</v>
      </c>
    </row>
    <row r="231" spans="1:5" ht="25.5" x14ac:dyDescent="0.2">
      <c r="A231" s="136" t="s">
        <v>523</v>
      </c>
      <c r="B231" s="143" t="s">
        <v>524</v>
      </c>
      <c r="C231" s="162">
        <f>Dati!C232</f>
        <v>0</v>
      </c>
      <c r="D231" s="162">
        <v>0</v>
      </c>
      <c r="E231" s="162">
        <f t="shared" si="3"/>
        <v>0</v>
      </c>
    </row>
    <row r="232" spans="1:5" s="25" customFormat="1" ht="25.5" x14ac:dyDescent="0.2">
      <c r="A232" s="136" t="s">
        <v>525</v>
      </c>
      <c r="B232" s="143" t="s">
        <v>526</v>
      </c>
      <c r="C232" s="162">
        <f>Dati!C233</f>
        <v>-38463763.68</v>
      </c>
      <c r="D232" s="162">
        <v>-37676764.219999999</v>
      </c>
      <c r="E232" s="162">
        <f t="shared" si="3"/>
        <v>-786999.46000000089</v>
      </c>
    </row>
    <row r="233" spans="1:5" s="25" customFormat="1" x14ac:dyDescent="0.2">
      <c r="A233" s="136" t="s">
        <v>527</v>
      </c>
      <c r="B233" s="143" t="s">
        <v>528</v>
      </c>
      <c r="C233" s="162">
        <f>Dati!C234</f>
        <v>-125000</v>
      </c>
      <c r="D233" s="162">
        <v>-135791.16</v>
      </c>
      <c r="E233" s="162">
        <f t="shared" si="3"/>
        <v>10791.160000000003</v>
      </c>
    </row>
    <row r="234" spans="1:5" s="25" customFormat="1" ht="25.5" x14ac:dyDescent="0.2">
      <c r="A234" s="136" t="s">
        <v>529</v>
      </c>
      <c r="B234" s="145" t="s">
        <v>530</v>
      </c>
      <c r="C234" s="162">
        <f>Dati!C235</f>
        <v>-19532623</v>
      </c>
      <c r="D234" s="162">
        <v>-23203512.280000001</v>
      </c>
      <c r="E234" s="162">
        <f t="shared" si="3"/>
        <v>3670889.2800000012</v>
      </c>
    </row>
    <row r="235" spans="1:5" s="25" customFormat="1" ht="25.5" x14ac:dyDescent="0.2">
      <c r="A235" s="122" t="s">
        <v>531</v>
      </c>
      <c r="B235" s="126" t="s">
        <v>532</v>
      </c>
      <c r="C235" s="161">
        <f>SUM(C236:C240)</f>
        <v>-23071819</v>
      </c>
      <c r="D235" s="161">
        <v>-22040875.41</v>
      </c>
      <c r="E235" s="161">
        <f t="shared" si="3"/>
        <v>-1030943.5899999999</v>
      </c>
    </row>
    <row r="236" spans="1:5" s="25" customFormat="1" x14ac:dyDescent="0.2">
      <c r="A236" s="136" t="s">
        <v>533</v>
      </c>
      <c r="B236" s="145" t="s">
        <v>534</v>
      </c>
      <c r="C236" s="162">
        <f>Dati!C237</f>
        <v>-15700</v>
      </c>
      <c r="D236" s="162">
        <v>-15700</v>
      </c>
      <c r="E236" s="162">
        <f t="shared" si="3"/>
        <v>0</v>
      </c>
    </row>
    <row r="237" spans="1:5" s="25" customFormat="1" x14ac:dyDescent="0.2">
      <c r="A237" s="136" t="s">
        <v>535</v>
      </c>
      <c r="B237" s="145" t="s">
        <v>733</v>
      </c>
      <c r="C237" s="162">
        <f>Dati!C238</f>
        <v>-601300</v>
      </c>
      <c r="D237" s="162">
        <v>-576077.93999999994</v>
      </c>
      <c r="E237" s="162">
        <f t="shared" si="3"/>
        <v>-25222.060000000056</v>
      </c>
    </row>
    <row r="238" spans="1:5" x14ac:dyDescent="0.2">
      <c r="A238" s="136" t="s">
        <v>536</v>
      </c>
      <c r="B238" s="145" t="s">
        <v>537</v>
      </c>
      <c r="C238" s="162">
        <f>Dati!C239</f>
        <v>0</v>
      </c>
      <c r="D238" s="162">
        <v>0</v>
      </c>
      <c r="E238" s="162">
        <f t="shared" si="3"/>
        <v>0</v>
      </c>
    </row>
    <row r="239" spans="1:5" s="25" customFormat="1" x14ac:dyDescent="0.2">
      <c r="A239" s="136" t="s">
        <v>538</v>
      </c>
      <c r="B239" s="145" t="s">
        <v>539</v>
      </c>
      <c r="C239" s="162">
        <f>Dati!C240</f>
        <v>-22222641</v>
      </c>
      <c r="D239" s="162">
        <v>-21234986.82</v>
      </c>
      <c r="E239" s="162">
        <f t="shared" si="3"/>
        <v>-987654.1799999997</v>
      </c>
    </row>
    <row r="240" spans="1:5" s="25" customFormat="1" x14ac:dyDescent="0.2">
      <c r="A240" s="136" t="s">
        <v>540</v>
      </c>
      <c r="B240" s="145" t="s">
        <v>541</v>
      </c>
      <c r="C240" s="162">
        <f>Dati!C241</f>
        <v>-232178</v>
      </c>
      <c r="D240" s="162">
        <v>-214110.65</v>
      </c>
      <c r="E240" s="162">
        <f t="shared" si="3"/>
        <v>-18067.350000000006</v>
      </c>
    </row>
    <row r="241" spans="1:5" x14ac:dyDescent="0.2">
      <c r="A241" s="122" t="s">
        <v>542</v>
      </c>
      <c r="B241" s="126" t="s">
        <v>543</v>
      </c>
      <c r="C241" s="161">
        <f>SUM(C242:C247)</f>
        <v>-26246436.02</v>
      </c>
      <c r="D241" s="161">
        <v>-25223889.950000003</v>
      </c>
      <c r="E241" s="161">
        <f t="shared" si="3"/>
        <v>-1022546.0699999966</v>
      </c>
    </row>
    <row r="242" spans="1:5" s="25" customFormat="1" ht="25.5" x14ac:dyDescent="0.2">
      <c r="A242" s="136" t="s">
        <v>544</v>
      </c>
      <c r="B242" s="145" t="s">
        <v>545</v>
      </c>
      <c r="C242" s="162">
        <f>Dati!C243</f>
        <v>-22227236.02</v>
      </c>
      <c r="D242" s="162">
        <v>-21152836.420000002</v>
      </c>
      <c r="E242" s="162">
        <f t="shared" si="3"/>
        <v>-1074399.5999999978</v>
      </c>
    </row>
    <row r="243" spans="1:5" s="25" customFormat="1" x14ac:dyDescent="0.2">
      <c r="A243" s="136" t="s">
        <v>546</v>
      </c>
      <c r="B243" s="145" t="s">
        <v>734</v>
      </c>
      <c r="C243" s="162">
        <f>Dati!C244</f>
        <v>-340300.15972692298</v>
      </c>
      <c r="D243" s="162">
        <v>-243753.64</v>
      </c>
      <c r="E243" s="162">
        <f t="shared" si="3"/>
        <v>-96546.519726922968</v>
      </c>
    </row>
    <row r="244" spans="1:5" s="25" customFormat="1" x14ac:dyDescent="0.2">
      <c r="A244" s="136" t="s">
        <v>547</v>
      </c>
      <c r="B244" s="145" t="s">
        <v>548</v>
      </c>
      <c r="C244" s="162">
        <f>Dati!C245</f>
        <v>-1853200</v>
      </c>
      <c r="D244" s="162">
        <v>-1853200.25</v>
      </c>
      <c r="E244" s="162">
        <f t="shared" si="3"/>
        <v>0.25</v>
      </c>
    </row>
    <row r="245" spans="1:5" s="25" customFormat="1" x14ac:dyDescent="0.2">
      <c r="A245" s="136" t="s">
        <v>549</v>
      </c>
      <c r="B245" s="145" t="s">
        <v>550</v>
      </c>
      <c r="C245" s="162">
        <f>Dati!C246</f>
        <v>-1825699.8402730799</v>
      </c>
      <c r="D245" s="162">
        <v>-1974099.64</v>
      </c>
      <c r="E245" s="162">
        <f t="shared" si="3"/>
        <v>148399.79972691997</v>
      </c>
    </row>
    <row r="246" spans="1:5" s="25" customFormat="1" x14ac:dyDescent="0.2">
      <c r="A246" s="136" t="s">
        <v>551</v>
      </c>
      <c r="B246" s="145" t="s">
        <v>552</v>
      </c>
      <c r="C246" s="162">
        <f>Dati!C247</f>
        <v>0</v>
      </c>
      <c r="D246" s="162">
        <v>0</v>
      </c>
      <c r="E246" s="162">
        <f t="shared" si="3"/>
        <v>0</v>
      </c>
    </row>
    <row r="247" spans="1:5" s="25" customFormat="1" ht="25.5" x14ac:dyDescent="0.2">
      <c r="A247" s="136" t="s">
        <v>553</v>
      </c>
      <c r="B247" s="145" t="s">
        <v>554</v>
      </c>
      <c r="C247" s="162">
        <f>Dati!C248</f>
        <v>0</v>
      </c>
      <c r="D247" s="162">
        <v>0</v>
      </c>
      <c r="E247" s="162">
        <f t="shared" si="3"/>
        <v>0</v>
      </c>
    </row>
    <row r="248" spans="1:5" x14ac:dyDescent="0.2">
      <c r="A248" s="122" t="s">
        <v>555</v>
      </c>
      <c r="B248" s="126" t="s">
        <v>556</v>
      </c>
      <c r="C248" s="161">
        <f>SUM(C249:C253)</f>
        <v>-1565064</v>
      </c>
      <c r="D248" s="161">
        <v>-1317658.28</v>
      </c>
      <c r="E248" s="161">
        <f t="shared" si="3"/>
        <v>-247405.71999999997</v>
      </c>
    </row>
    <row r="249" spans="1:5" s="25" customFormat="1" ht="25.5" x14ac:dyDescent="0.2">
      <c r="A249" s="136" t="s">
        <v>557</v>
      </c>
      <c r="B249" s="145" t="s">
        <v>558</v>
      </c>
      <c r="C249" s="162">
        <f>Dati!C250</f>
        <v>0</v>
      </c>
      <c r="D249" s="162">
        <v>0</v>
      </c>
      <c r="E249" s="162">
        <f t="shared" si="3"/>
        <v>0</v>
      </c>
    </row>
    <row r="250" spans="1:5" s="25" customFormat="1" x14ac:dyDescent="0.2">
      <c r="A250" s="136" t="s">
        <v>559</v>
      </c>
      <c r="B250" s="145" t="s">
        <v>63</v>
      </c>
      <c r="C250" s="162">
        <f>Dati!C251</f>
        <v>0</v>
      </c>
      <c r="D250" s="162">
        <v>0</v>
      </c>
      <c r="E250" s="162">
        <f t="shared" si="3"/>
        <v>0</v>
      </c>
    </row>
    <row r="251" spans="1:5" s="25" customFormat="1" x14ac:dyDescent="0.2">
      <c r="A251" s="136" t="s">
        <v>560</v>
      </c>
      <c r="B251" s="145" t="s">
        <v>561</v>
      </c>
      <c r="C251" s="162">
        <f>Dati!C252</f>
        <v>-303064</v>
      </c>
      <c r="D251" s="162">
        <v>-303063.69</v>
      </c>
      <c r="E251" s="162">
        <f t="shared" si="3"/>
        <v>-0.30999999999767169</v>
      </c>
    </row>
    <row r="252" spans="1:5" x14ac:dyDescent="0.2">
      <c r="A252" s="136" t="s">
        <v>562</v>
      </c>
      <c r="B252" s="145" t="s">
        <v>64</v>
      </c>
      <c r="C252" s="162">
        <f>Dati!C253</f>
        <v>-1250000</v>
      </c>
      <c r="D252" s="162">
        <v>-1002321.35</v>
      </c>
      <c r="E252" s="162">
        <f t="shared" si="3"/>
        <v>-247678.65000000002</v>
      </c>
    </row>
    <row r="253" spans="1:5" s="25" customFormat="1" ht="25.5" x14ac:dyDescent="0.2">
      <c r="A253" s="136" t="s">
        <v>563</v>
      </c>
      <c r="B253" s="145" t="s">
        <v>564</v>
      </c>
      <c r="C253" s="162">
        <f>Dati!C254</f>
        <v>-12000</v>
      </c>
      <c r="D253" s="162">
        <v>-12273.24</v>
      </c>
      <c r="E253" s="162">
        <f t="shared" si="3"/>
        <v>273.23999999999978</v>
      </c>
    </row>
    <row r="254" spans="1:5" s="25" customFormat="1" x14ac:dyDescent="0.2">
      <c r="A254" s="122" t="s">
        <v>565</v>
      </c>
      <c r="B254" s="126" t="s">
        <v>566</v>
      </c>
      <c r="C254" s="161">
        <f>SUM(C255:C258)</f>
        <v>-7297630</v>
      </c>
      <c r="D254" s="161">
        <v>-7569822.6000000006</v>
      </c>
      <c r="E254" s="161">
        <f t="shared" si="3"/>
        <v>272192.60000000056</v>
      </c>
    </row>
    <row r="255" spans="1:5" s="25" customFormat="1" ht="25.5" x14ac:dyDescent="0.2">
      <c r="A255" s="136" t="s">
        <v>567</v>
      </c>
      <c r="B255" s="145" t="s">
        <v>568</v>
      </c>
      <c r="C255" s="162">
        <f>Dati!C256</f>
        <v>0</v>
      </c>
      <c r="D255" s="162">
        <v>-300</v>
      </c>
      <c r="E255" s="162">
        <f t="shared" si="3"/>
        <v>300</v>
      </c>
    </row>
    <row r="256" spans="1:5" s="25" customFormat="1" x14ac:dyDescent="0.2">
      <c r="A256" s="136" t="s">
        <v>569</v>
      </c>
      <c r="B256" s="145" t="s">
        <v>570</v>
      </c>
      <c r="C256" s="162">
        <f>Dati!C257</f>
        <v>0</v>
      </c>
      <c r="D256" s="162">
        <v>0</v>
      </c>
      <c r="E256" s="162">
        <f t="shared" si="3"/>
        <v>0</v>
      </c>
    </row>
    <row r="257" spans="1:5" s="25" customFormat="1" x14ac:dyDescent="0.2">
      <c r="A257" s="136" t="s">
        <v>571</v>
      </c>
      <c r="B257" s="145" t="s">
        <v>572</v>
      </c>
      <c r="C257" s="162">
        <f>Dati!C258</f>
        <v>-558580</v>
      </c>
      <c r="D257" s="162">
        <v>-558580.24</v>
      </c>
      <c r="E257" s="162">
        <f t="shared" si="3"/>
        <v>0.23999999999068677</v>
      </c>
    </row>
    <row r="258" spans="1:5" s="25" customFormat="1" x14ac:dyDescent="0.2">
      <c r="A258" s="136" t="s">
        <v>573</v>
      </c>
      <c r="B258" s="145" t="s">
        <v>574</v>
      </c>
      <c r="C258" s="162">
        <f>Dati!C259</f>
        <v>-6739050</v>
      </c>
      <c r="D258" s="162">
        <v>-7010942.3600000003</v>
      </c>
      <c r="E258" s="162">
        <f t="shared" si="3"/>
        <v>271892.36000000034</v>
      </c>
    </row>
    <row r="259" spans="1:5" x14ac:dyDescent="0.2">
      <c r="A259" s="122" t="s">
        <v>575</v>
      </c>
      <c r="B259" s="126" t="s">
        <v>576</v>
      </c>
      <c r="C259" s="161">
        <f>+C260+SUM(C263:C267)</f>
        <v>-89692382.004999995</v>
      </c>
      <c r="D259" s="161">
        <v>-94953299.219999999</v>
      </c>
      <c r="E259" s="161">
        <f t="shared" ref="E259:E322" si="4">C259-D259</f>
        <v>5260917.2150000036</v>
      </c>
    </row>
    <row r="260" spans="1:5" ht="25.5" x14ac:dyDescent="0.2">
      <c r="A260" s="136" t="s">
        <v>577</v>
      </c>
      <c r="B260" s="145" t="s">
        <v>578</v>
      </c>
      <c r="C260" s="162">
        <f>SUM(C261:C262)</f>
        <v>-157509</v>
      </c>
      <c r="D260" s="162">
        <v>-90174.85</v>
      </c>
      <c r="E260" s="162">
        <f t="shared" si="4"/>
        <v>-67334.149999999994</v>
      </c>
    </row>
    <row r="261" spans="1:5" s="25" customFormat="1" x14ac:dyDescent="0.2">
      <c r="A261" s="136" t="s">
        <v>1256</v>
      </c>
      <c r="B261" s="143" t="s">
        <v>1257</v>
      </c>
      <c r="C261" s="162">
        <f>Dati!C262</f>
        <v>-38925</v>
      </c>
      <c r="D261" s="162">
        <v>-5595.75</v>
      </c>
      <c r="E261" s="162">
        <f t="shared" si="4"/>
        <v>-33329.25</v>
      </c>
    </row>
    <row r="262" spans="1:5" s="25" customFormat="1" x14ac:dyDescent="0.2">
      <c r="A262" s="136" t="s">
        <v>1258</v>
      </c>
      <c r="B262" s="143" t="s">
        <v>1259</v>
      </c>
      <c r="C262" s="162">
        <f>Dati!C263</f>
        <v>-118584</v>
      </c>
      <c r="D262" s="162">
        <v>-84579.1</v>
      </c>
      <c r="E262" s="162">
        <f t="shared" si="4"/>
        <v>-34004.899999999994</v>
      </c>
    </row>
    <row r="263" spans="1:5" s="25" customFormat="1" x14ac:dyDescent="0.2">
      <c r="A263" s="136" t="s">
        <v>579</v>
      </c>
      <c r="B263" s="145" t="s">
        <v>581</v>
      </c>
      <c r="C263" s="162">
        <f>Dati!C264</f>
        <v>-34907892.655000001</v>
      </c>
      <c r="D263" s="162">
        <v>-32573075.079999998</v>
      </c>
      <c r="E263" s="162">
        <f t="shared" si="4"/>
        <v>-2334817.575000003</v>
      </c>
    </row>
    <row r="264" spans="1:5" s="25" customFormat="1" ht="25.5" x14ac:dyDescent="0.2">
      <c r="A264" s="136" t="s">
        <v>1260</v>
      </c>
      <c r="B264" s="145" t="s">
        <v>1261</v>
      </c>
      <c r="C264" s="162">
        <f>Dati!C265</f>
        <v>0</v>
      </c>
      <c r="D264" s="162">
        <v>0</v>
      </c>
      <c r="E264" s="162">
        <f t="shared" si="4"/>
        <v>0</v>
      </c>
    </row>
    <row r="265" spans="1:5" s="25" customFormat="1" x14ac:dyDescent="0.2">
      <c r="A265" s="136" t="s">
        <v>582</v>
      </c>
      <c r="B265" s="145" t="s">
        <v>1262</v>
      </c>
      <c r="C265" s="162">
        <f>Dati!C266</f>
        <v>-5000</v>
      </c>
      <c r="D265" s="162">
        <v>-24480</v>
      </c>
      <c r="E265" s="162">
        <f t="shared" si="4"/>
        <v>19480</v>
      </c>
    </row>
    <row r="266" spans="1:5" s="25" customFormat="1" x14ac:dyDescent="0.2">
      <c r="A266" s="136" t="s">
        <v>673</v>
      </c>
      <c r="B266" s="145" t="s">
        <v>1263</v>
      </c>
      <c r="C266" s="162">
        <f>Dati!C267</f>
        <v>-54609484.349999994</v>
      </c>
      <c r="D266" s="162">
        <v>-62188773.560000002</v>
      </c>
      <c r="E266" s="162">
        <f t="shared" si="4"/>
        <v>7579289.2100000083</v>
      </c>
    </row>
    <row r="267" spans="1:5" s="25" customFormat="1" x14ac:dyDescent="0.2">
      <c r="A267" s="136" t="s">
        <v>674</v>
      </c>
      <c r="B267" s="145" t="s">
        <v>1264</v>
      </c>
      <c r="C267" s="162">
        <f>Dati!C268</f>
        <v>-12496</v>
      </c>
      <c r="D267" s="162">
        <v>-76795.73</v>
      </c>
      <c r="E267" s="162">
        <f t="shared" si="4"/>
        <v>64299.729999999996</v>
      </c>
    </row>
    <row r="268" spans="1:5" s="25" customFormat="1" ht="25.5" x14ac:dyDescent="0.2">
      <c r="A268" s="122" t="s">
        <v>675</v>
      </c>
      <c r="B268" s="126" t="s">
        <v>676</v>
      </c>
      <c r="C268" s="161">
        <f>SUM(C269:C275)</f>
        <v>-4698333</v>
      </c>
      <c r="D268" s="161">
        <v>-4738440.1599999992</v>
      </c>
      <c r="E268" s="161">
        <f t="shared" si="4"/>
        <v>40107.159999999218</v>
      </c>
    </row>
    <row r="269" spans="1:5" s="25" customFormat="1" ht="25.5" x14ac:dyDescent="0.2">
      <c r="A269" s="136" t="s">
        <v>677</v>
      </c>
      <c r="B269" s="145" t="s">
        <v>678</v>
      </c>
      <c r="C269" s="162">
        <f>Dati!C270</f>
        <v>-152800</v>
      </c>
      <c r="D269" s="162">
        <v>-198814.8</v>
      </c>
      <c r="E269" s="162">
        <f t="shared" si="4"/>
        <v>46014.799999999988</v>
      </c>
    </row>
    <row r="270" spans="1:5" s="25" customFormat="1" ht="25.5" x14ac:dyDescent="0.2">
      <c r="A270" s="136" t="s">
        <v>679</v>
      </c>
      <c r="B270" s="145" t="s">
        <v>680</v>
      </c>
      <c r="C270" s="162">
        <f>Dati!C271</f>
        <v>-4200833</v>
      </c>
      <c r="D270" s="162">
        <v>-4210537.42</v>
      </c>
      <c r="E270" s="162">
        <f t="shared" si="4"/>
        <v>9704.4199999999255</v>
      </c>
    </row>
    <row r="271" spans="1:5" ht="25.5" x14ac:dyDescent="0.2">
      <c r="A271" s="136" t="s">
        <v>681</v>
      </c>
      <c r="B271" s="145" t="s">
        <v>682</v>
      </c>
      <c r="C271" s="162">
        <f>Dati!C272</f>
        <v>-24700</v>
      </c>
      <c r="D271" s="162">
        <v>-11391.27</v>
      </c>
      <c r="E271" s="162">
        <f t="shared" si="4"/>
        <v>-13308.73</v>
      </c>
    </row>
    <row r="272" spans="1:5" s="25" customFormat="1" ht="25.5" x14ac:dyDescent="0.2">
      <c r="A272" s="136" t="s">
        <v>683</v>
      </c>
      <c r="B272" s="145" t="s">
        <v>684</v>
      </c>
      <c r="C272" s="162">
        <f>Dati!C273</f>
        <v>-320000</v>
      </c>
      <c r="D272" s="162">
        <v>-317696.67</v>
      </c>
      <c r="E272" s="162">
        <f t="shared" si="4"/>
        <v>-2303.3300000000163</v>
      </c>
    </row>
    <row r="273" spans="1:5" s="25" customFormat="1" ht="38.25" x14ac:dyDescent="0.2">
      <c r="A273" s="136" t="s">
        <v>685</v>
      </c>
      <c r="B273" s="145" t="s">
        <v>686</v>
      </c>
      <c r="C273" s="162">
        <f>Dati!C274</f>
        <v>0</v>
      </c>
      <c r="D273" s="162">
        <v>0</v>
      </c>
      <c r="E273" s="162">
        <f t="shared" si="4"/>
        <v>0</v>
      </c>
    </row>
    <row r="274" spans="1:5" ht="25.5" x14ac:dyDescent="0.2">
      <c r="A274" s="136" t="s">
        <v>687</v>
      </c>
      <c r="B274" s="145" t="s">
        <v>688</v>
      </c>
      <c r="C274" s="162">
        <f>Dati!C275</f>
        <v>0</v>
      </c>
      <c r="D274" s="162">
        <v>0</v>
      </c>
      <c r="E274" s="162">
        <f t="shared" si="4"/>
        <v>0</v>
      </c>
    </row>
    <row r="275" spans="1:5" s="25" customFormat="1" ht="25.5" x14ac:dyDescent="0.2">
      <c r="A275" s="136" t="s">
        <v>689</v>
      </c>
      <c r="B275" s="145" t="s">
        <v>690</v>
      </c>
      <c r="C275" s="162">
        <f>Dati!C276</f>
        <v>0</v>
      </c>
      <c r="D275" s="162">
        <v>0</v>
      </c>
      <c r="E275" s="162">
        <f t="shared" si="4"/>
        <v>0</v>
      </c>
    </row>
    <row r="276" spans="1:5" s="25" customFormat="1" x14ac:dyDescent="0.2">
      <c r="A276" s="122" t="s">
        <v>691</v>
      </c>
      <c r="B276" s="126" t="s">
        <v>692</v>
      </c>
      <c r="C276" s="161">
        <f>SUM(C277:C283)</f>
        <v>-11379859.09</v>
      </c>
      <c r="D276" s="161">
        <v>-13437650.77</v>
      </c>
      <c r="E276" s="161">
        <f t="shared" si="4"/>
        <v>2057791.6799999997</v>
      </c>
    </row>
    <row r="277" spans="1:5" s="25" customFormat="1" x14ac:dyDescent="0.2">
      <c r="A277" s="136" t="s">
        <v>693</v>
      </c>
      <c r="B277" s="145" t="s">
        <v>694</v>
      </c>
      <c r="C277" s="162">
        <f>Dati!C278</f>
        <v>-280000</v>
      </c>
      <c r="D277" s="162">
        <v>-306451.88</v>
      </c>
      <c r="E277" s="162">
        <f t="shared" si="4"/>
        <v>26451.880000000005</v>
      </c>
    </row>
    <row r="278" spans="1:5" x14ac:dyDescent="0.2">
      <c r="A278" s="136" t="s">
        <v>695</v>
      </c>
      <c r="B278" s="145" t="s">
        <v>696</v>
      </c>
      <c r="C278" s="162">
        <f>Dati!C279</f>
        <v>-50000</v>
      </c>
      <c r="D278" s="162">
        <v>-44483.360000000001</v>
      </c>
      <c r="E278" s="162">
        <f t="shared" si="4"/>
        <v>-5516.6399999999994</v>
      </c>
    </row>
    <row r="279" spans="1:5" s="25" customFormat="1" x14ac:dyDescent="0.2">
      <c r="A279" s="136" t="s">
        <v>697</v>
      </c>
      <c r="B279" s="145" t="s">
        <v>698</v>
      </c>
      <c r="C279" s="162">
        <f>Dati!C280</f>
        <v>0</v>
      </c>
      <c r="D279" s="162">
        <v>0</v>
      </c>
      <c r="E279" s="162">
        <f t="shared" si="4"/>
        <v>0</v>
      </c>
    </row>
    <row r="280" spans="1:5" s="25" customFormat="1" x14ac:dyDescent="0.2">
      <c r="A280" s="136" t="s">
        <v>699</v>
      </c>
      <c r="B280" s="145" t="s">
        <v>700</v>
      </c>
      <c r="C280" s="162">
        <f>Dati!C281</f>
        <v>-2478257.61</v>
      </c>
      <c r="D280" s="162">
        <v>-2462257.61</v>
      </c>
      <c r="E280" s="162">
        <f t="shared" si="4"/>
        <v>-16000</v>
      </c>
    </row>
    <row r="281" spans="1:5" x14ac:dyDescent="0.2">
      <c r="A281" s="136" t="s">
        <v>701</v>
      </c>
      <c r="B281" s="145" t="s">
        <v>702</v>
      </c>
      <c r="C281" s="162">
        <f>Dati!C282</f>
        <v>-8252335</v>
      </c>
      <c r="D281" s="162">
        <v>-10136615.76</v>
      </c>
      <c r="E281" s="162">
        <f t="shared" si="4"/>
        <v>1884280.7599999998</v>
      </c>
    </row>
    <row r="282" spans="1:5" s="25" customFormat="1" ht="25.5" x14ac:dyDescent="0.2">
      <c r="A282" s="136" t="s">
        <v>703</v>
      </c>
      <c r="B282" s="145" t="s">
        <v>704</v>
      </c>
      <c r="C282" s="162">
        <f>Dati!C283</f>
        <v>-319266.48</v>
      </c>
      <c r="D282" s="162">
        <v>-487842.16</v>
      </c>
      <c r="E282" s="162">
        <f t="shared" si="4"/>
        <v>168575.68</v>
      </c>
    </row>
    <row r="283" spans="1:5" s="25" customFormat="1" x14ac:dyDescent="0.2">
      <c r="A283" s="136" t="s">
        <v>1265</v>
      </c>
      <c r="B283" s="145" t="s">
        <v>1266</v>
      </c>
      <c r="C283" s="162">
        <f>Dati!C284</f>
        <v>0</v>
      </c>
      <c r="D283" s="162">
        <v>0</v>
      </c>
      <c r="E283" s="162">
        <f t="shared" si="4"/>
        <v>0</v>
      </c>
    </row>
    <row r="284" spans="1:5" s="25" customFormat="1" ht="25.5" x14ac:dyDescent="0.2">
      <c r="A284" s="122" t="s">
        <v>705</v>
      </c>
      <c r="B284" s="126" t="s">
        <v>706</v>
      </c>
      <c r="C284" s="161">
        <f>SUM(C285:C287)+C294</f>
        <v>-12328399.620000001</v>
      </c>
      <c r="D284" s="161">
        <v>-13127545.639999999</v>
      </c>
      <c r="E284" s="161">
        <f t="shared" si="4"/>
        <v>799146.01999999769</v>
      </c>
    </row>
    <row r="285" spans="1:5" s="25" customFormat="1" ht="25.5" x14ac:dyDescent="0.2">
      <c r="A285" s="136" t="s">
        <v>707</v>
      </c>
      <c r="B285" s="145" t="s">
        <v>708</v>
      </c>
      <c r="C285" s="162">
        <f>Dati!C286</f>
        <v>-557759.13</v>
      </c>
      <c r="D285" s="162">
        <v>-486249.17</v>
      </c>
      <c r="E285" s="162">
        <f t="shared" si="4"/>
        <v>-71509.960000000021</v>
      </c>
    </row>
    <row r="286" spans="1:5" s="25" customFormat="1" x14ac:dyDescent="0.2">
      <c r="A286" s="136" t="s">
        <v>709</v>
      </c>
      <c r="B286" s="145" t="s">
        <v>710</v>
      </c>
      <c r="C286" s="162">
        <f>Dati!C287</f>
        <v>-184704</v>
      </c>
      <c r="D286" s="162">
        <v>-23526.68</v>
      </c>
      <c r="E286" s="162">
        <f t="shared" si="4"/>
        <v>-161177.32</v>
      </c>
    </row>
    <row r="287" spans="1:5" ht="25.5" x14ac:dyDescent="0.2">
      <c r="A287" s="156" t="s">
        <v>711</v>
      </c>
      <c r="B287" s="157" t="s">
        <v>712</v>
      </c>
      <c r="C287" s="165">
        <f>SUM(C288:C293)</f>
        <v>-10897145.960000001</v>
      </c>
      <c r="D287" s="165">
        <v>-11954916.059999999</v>
      </c>
      <c r="E287" s="165">
        <f t="shared" si="4"/>
        <v>1057770.0999999978</v>
      </c>
    </row>
    <row r="288" spans="1:5" s="25" customFormat="1" ht="25.5" x14ac:dyDescent="0.2">
      <c r="A288" s="136" t="s">
        <v>713</v>
      </c>
      <c r="B288" s="143" t="s">
        <v>714</v>
      </c>
      <c r="C288" s="162">
        <f>Dati!C289</f>
        <v>-2565145.96</v>
      </c>
      <c r="D288" s="162">
        <v>-2110876.94</v>
      </c>
      <c r="E288" s="162">
        <f t="shared" si="4"/>
        <v>-454269.02</v>
      </c>
    </row>
    <row r="289" spans="1:5" s="25" customFormat="1" x14ac:dyDescent="0.2">
      <c r="A289" s="136" t="s">
        <v>715</v>
      </c>
      <c r="B289" s="143" t="s">
        <v>716</v>
      </c>
      <c r="C289" s="162">
        <f>Dati!C290</f>
        <v>-12000</v>
      </c>
      <c r="D289" s="162">
        <v>-20890.150000000001</v>
      </c>
      <c r="E289" s="162">
        <f t="shared" si="4"/>
        <v>8890.1500000000015</v>
      </c>
    </row>
    <row r="290" spans="1:5" s="25" customFormat="1" ht="25.5" x14ac:dyDescent="0.2">
      <c r="A290" s="136" t="s">
        <v>717</v>
      </c>
      <c r="B290" s="143" t="s">
        <v>718</v>
      </c>
      <c r="C290" s="162">
        <f>Dati!C291</f>
        <v>-300000</v>
      </c>
      <c r="D290" s="162">
        <v>-761987.74</v>
      </c>
      <c r="E290" s="162">
        <f t="shared" si="4"/>
        <v>461987.74</v>
      </c>
    </row>
    <row r="291" spans="1:5" x14ac:dyDescent="0.2">
      <c r="A291" s="136" t="s">
        <v>719</v>
      </c>
      <c r="B291" s="143" t="s">
        <v>720</v>
      </c>
      <c r="C291" s="162">
        <f>Dati!C292</f>
        <v>0</v>
      </c>
      <c r="D291" s="162">
        <v>-65403.31</v>
      </c>
      <c r="E291" s="162">
        <f t="shared" si="4"/>
        <v>65403.31</v>
      </c>
    </row>
    <row r="292" spans="1:5" s="25" customFormat="1" x14ac:dyDescent="0.2">
      <c r="A292" s="136" t="s">
        <v>721</v>
      </c>
      <c r="B292" s="143" t="s">
        <v>722</v>
      </c>
      <c r="C292" s="162">
        <f>Dati!C293</f>
        <v>-4350000</v>
      </c>
      <c r="D292" s="162">
        <v>-5055067.21</v>
      </c>
      <c r="E292" s="162">
        <f t="shared" si="4"/>
        <v>705067.21</v>
      </c>
    </row>
    <row r="293" spans="1:5" s="25" customFormat="1" x14ac:dyDescent="0.2">
      <c r="A293" s="136" t="s">
        <v>723</v>
      </c>
      <c r="B293" s="143" t="s">
        <v>724</v>
      </c>
      <c r="C293" s="162">
        <f>Dati!C294</f>
        <v>-3670000</v>
      </c>
      <c r="D293" s="162">
        <v>-3940690.71</v>
      </c>
      <c r="E293" s="162">
        <f t="shared" si="4"/>
        <v>270690.70999999996</v>
      </c>
    </row>
    <row r="294" spans="1:5" x14ac:dyDescent="0.2">
      <c r="A294" s="156" t="s">
        <v>725</v>
      </c>
      <c r="B294" s="157" t="s">
        <v>726</v>
      </c>
      <c r="C294" s="165">
        <f>SUM(C295:C297)</f>
        <v>-688790.53</v>
      </c>
      <c r="D294" s="165">
        <v>-662853.73</v>
      </c>
      <c r="E294" s="165">
        <f t="shared" si="4"/>
        <v>-25936.800000000047</v>
      </c>
    </row>
    <row r="295" spans="1:5" s="25" customFormat="1" ht="25.5" x14ac:dyDescent="0.2">
      <c r="A295" s="136" t="s">
        <v>727</v>
      </c>
      <c r="B295" s="143" t="s">
        <v>728</v>
      </c>
      <c r="C295" s="162">
        <f>Dati!C296</f>
        <v>-688790.53</v>
      </c>
      <c r="D295" s="162">
        <v>-662853.73</v>
      </c>
      <c r="E295" s="162">
        <f t="shared" si="4"/>
        <v>-25936.800000000047</v>
      </c>
    </row>
    <row r="296" spans="1:5" s="25" customFormat="1" ht="25.5" x14ac:dyDescent="0.2">
      <c r="A296" s="136" t="s">
        <v>729</v>
      </c>
      <c r="B296" s="143" t="s">
        <v>730</v>
      </c>
      <c r="C296" s="162">
        <f>Dati!C297</f>
        <v>0</v>
      </c>
      <c r="D296" s="162">
        <v>0</v>
      </c>
      <c r="E296" s="162">
        <f t="shared" si="4"/>
        <v>0</v>
      </c>
    </row>
    <row r="297" spans="1:5" s="25" customFormat="1" ht="25.5" x14ac:dyDescent="0.2">
      <c r="A297" s="136" t="s">
        <v>731</v>
      </c>
      <c r="B297" s="143" t="s">
        <v>950</v>
      </c>
      <c r="C297" s="162">
        <f>Dati!C298</f>
        <v>0</v>
      </c>
      <c r="D297" s="162">
        <v>0</v>
      </c>
      <c r="E297" s="162">
        <f t="shared" si="4"/>
        <v>0</v>
      </c>
    </row>
    <row r="298" spans="1:5" s="25" customFormat="1" x14ac:dyDescent="0.2">
      <c r="A298" s="122" t="s">
        <v>951</v>
      </c>
      <c r="B298" s="126" t="s">
        <v>952</v>
      </c>
      <c r="C298" s="161">
        <f>SUM(C299:C305)</f>
        <v>-35520222.240000002</v>
      </c>
      <c r="D298" s="161">
        <v>-34673949.719999999</v>
      </c>
      <c r="E298" s="161">
        <f t="shared" si="4"/>
        <v>-846272.52000000328</v>
      </c>
    </row>
    <row r="299" spans="1:5" s="25" customFormat="1" ht="25.5" x14ac:dyDescent="0.2">
      <c r="A299" s="136" t="s">
        <v>953</v>
      </c>
      <c r="B299" s="145" t="s">
        <v>954</v>
      </c>
      <c r="C299" s="162">
        <f>Dati!C300</f>
        <v>-161984.24</v>
      </c>
      <c r="D299" s="162">
        <v>-227147.71</v>
      </c>
      <c r="E299" s="162">
        <f t="shared" si="4"/>
        <v>65163.47</v>
      </c>
    </row>
    <row r="300" spans="1:5" s="25" customFormat="1" ht="25.5" x14ac:dyDescent="0.2">
      <c r="A300" s="136" t="s">
        <v>955</v>
      </c>
      <c r="B300" s="145" t="s">
        <v>956</v>
      </c>
      <c r="C300" s="162">
        <f>Dati!C301</f>
        <v>-8691538</v>
      </c>
      <c r="D300" s="162">
        <v>-8220530.6299999999</v>
      </c>
      <c r="E300" s="162">
        <f t="shared" si="4"/>
        <v>-471007.37000000011</v>
      </c>
    </row>
    <row r="301" spans="1:5" s="25" customFormat="1" ht="25.5" x14ac:dyDescent="0.2">
      <c r="A301" s="136" t="s">
        <v>957</v>
      </c>
      <c r="B301" s="145" t="s">
        <v>958</v>
      </c>
      <c r="C301" s="162">
        <f>Dati!C302</f>
        <v>0</v>
      </c>
      <c r="D301" s="162">
        <v>-118.7</v>
      </c>
      <c r="E301" s="162">
        <f t="shared" si="4"/>
        <v>118.7</v>
      </c>
    </row>
    <row r="302" spans="1:5" x14ac:dyDescent="0.2">
      <c r="A302" s="136" t="s">
        <v>959</v>
      </c>
      <c r="B302" s="145" t="s">
        <v>960</v>
      </c>
      <c r="C302" s="162">
        <f>Dati!C303</f>
        <v>-25766700</v>
      </c>
      <c r="D302" s="162">
        <v>-25326152.68</v>
      </c>
      <c r="E302" s="162">
        <f t="shared" si="4"/>
        <v>-440547.3200000003</v>
      </c>
    </row>
    <row r="303" spans="1:5" s="25" customFormat="1" x14ac:dyDescent="0.2">
      <c r="A303" s="136" t="s">
        <v>961</v>
      </c>
      <c r="B303" s="145" t="s">
        <v>962</v>
      </c>
      <c r="C303" s="162">
        <f>Dati!C304</f>
        <v>-900000</v>
      </c>
      <c r="D303" s="162">
        <v>-900000</v>
      </c>
      <c r="E303" s="162">
        <f t="shared" si="4"/>
        <v>0</v>
      </c>
    </row>
    <row r="304" spans="1:5" ht="25.5" x14ac:dyDescent="0.2">
      <c r="A304" s="136" t="s">
        <v>1267</v>
      </c>
      <c r="B304" s="145" t="s">
        <v>1268</v>
      </c>
      <c r="C304" s="162">
        <f>Dati!C305</f>
        <v>0</v>
      </c>
      <c r="D304" s="162">
        <v>0</v>
      </c>
      <c r="E304" s="162">
        <f t="shared" si="4"/>
        <v>0</v>
      </c>
    </row>
    <row r="305" spans="1:5" s="25" customFormat="1" ht="25.5" x14ac:dyDescent="0.2">
      <c r="A305" s="136" t="s">
        <v>1269</v>
      </c>
      <c r="B305" s="145" t="s">
        <v>1270</v>
      </c>
      <c r="C305" s="162">
        <f>Dati!C306</f>
        <v>0</v>
      </c>
      <c r="D305" s="162">
        <v>0</v>
      </c>
      <c r="E305" s="162">
        <f t="shared" si="4"/>
        <v>0</v>
      </c>
    </row>
    <row r="306" spans="1:5" s="25" customFormat="1" x14ac:dyDescent="0.2">
      <c r="A306" s="120" t="s">
        <v>963</v>
      </c>
      <c r="B306" s="142" t="s">
        <v>964</v>
      </c>
      <c r="C306" s="162">
        <f>Dati!C307</f>
        <v>0</v>
      </c>
      <c r="D306" s="162">
        <v>0</v>
      </c>
      <c r="E306" s="162">
        <f t="shared" si="4"/>
        <v>0</v>
      </c>
    </row>
    <row r="307" spans="1:5" x14ac:dyDescent="0.2">
      <c r="A307" s="122" t="s">
        <v>965</v>
      </c>
      <c r="B307" s="125" t="s">
        <v>65</v>
      </c>
      <c r="C307" s="161">
        <f>C308+C328+C342</f>
        <v>-71216843.741816252</v>
      </c>
      <c r="D307" s="161">
        <v>-50875487.32</v>
      </c>
      <c r="E307" s="161">
        <f t="shared" si="4"/>
        <v>-20341356.421816252</v>
      </c>
    </row>
    <row r="308" spans="1:5" s="25" customFormat="1" x14ac:dyDescent="0.2">
      <c r="A308" s="122" t="s">
        <v>966</v>
      </c>
      <c r="B308" s="126" t="s">
        <v>66</v>
      </c>
      <c r="C308" s="161">
        <f>SUM(C309:C311)++SUM(C314:C321)+C324</f>
        <v>-68943324.881816253</v>
      </c>
      <c r="D308" s="161">
        <v>-47758050.450000003</v>
      </c>
      <c r="E308" s="161">
        <f t="shared" si="4"/>
        <v>-21185274.43181625</v>
      </c>
    </row>
    <row r="309" spans="1:5" s="25" customFormat="1" x14ac:dyDescent="0.2">
      <c r="A309" s="136" t="s">
        <v>967</v>
      </c>
      <c r="B309" s="145" t="s">
        <v>67</v>
      </c>
      <c r="C309" s="162">
        <f>Dati!C310</f>
        <v>-3700000</v>
      </c>
      <c r="D309" s="162">
        <v>-2098701.73</v>
      </c>
      <c r="E309" s="162">
        <f t="shared" si="4"/>
        <v>-1601298.27</v>
      </c>
    </row>
    <row r="310" spans="1:5" s="25" customFormat="1" x14ac:dyDescent="0.2">
      <c r="A310" s="136" t="s">
        <v>968</v>
      </c>
      <c r="B310" s="145" t="s">
        <v>68</v>
      </c>
      <c r="C310" s="162">
        <f>Dati!C311</f>
        <v>-5900000</v>
      </c>
      <c r="D310" s="162">
        <v>-5828923.6699999999</v>
      </c>
      <c r="E310" s="162">
        <f t="shared" si="4"/>
        <v>-71076.330000000075</v>
      </c>
    </row>
    <row r="311" spans="1:5" x14ac:dyDescent="0.2">
      <c r="A311" s="141" t="s">
        <v>969</v>
      </c>
      <c r="B311" s="154" t="s">
        <v>69</v>
      </c>
      <c r="C311" s="160">
        <f>SUM(C312:C313)</f>
        <v>-6700000</v>
      </c>
      <c r="D311" s="160">
        <v>-6693623.7599999998</v>
      </c>
      <c r="E311" s="160">
        <f t="shared" si="4"/>
        <v>-6376.2400000002235</v>
      </c>
    </row>
    <row r="312" spans="1:5" x14ac:dyDescent="0.2">
      <c r="A312" s="136" t="s">
        <v>1271</v>
      </c>
      <c r="B312" s="143" t="s">
        <v>1272</v>
      </c>
      <c r="C312" s="162">
        <f>Dati!C313</f>
        <v>-3900000</v>
      </c>
      <c r="D312" s="162">
        <v>-3763460.41</v>
      </c>
      <c r="E312" s="162">
        <f t="shared" si="4"/>
        <v>-136539.58999999985</v>
      </c>
    </row>
    <row r="313" spans="1:5" x14ac:dyDescent="0.2">
      <c r="A313" s="136" t="s">
        <v>1273</v>
      </c>
      <c r="B313" s="143" t="s">
        <v>1274</v>
      </c>
      <c r="C313" s="162">
        <f>Dati!C314</f>
        <v>-2800000</v>
      </c>
      <c r="D313" s="162">
        <v>-2930163.35</v>
      </c>
      <c r="E313" s="162">
        <f t="shared" si="4"/>
        <v>130163.35000000009</v>
      </c>
    </row>
    <row r="314" spans="1:5" x14ac:dyDescent="0.2">
      <c r="A314" s="136" t="s">
        <v>970</v>
      </c>
      <c r="B314" s="145" t="s">
        <v>70</v>
      </c>
      <c r="C314" s="162">
        <f>Dati!C315</f>
        <v>-12894000</v>
      </c>
      <c r="D314" s="162">
        <v>-2700000</v>
      </c>
      <c r="E314" s="162">
        <f t="shared" si="4"/>
        <v>-10194000</v>
      </c>
    </row>
    <row r="315" spans="1:5" s="25" customFormat="1" x14ac:dyDescent="0.2">
      <c r="A315" s="136" t="s">
        <v>971</v>
      </c>
      <c r="B315" s="145" t="s">
        <v>972</v>
      </c>
      <c r="C315" s="162">
        <f>Dati!C316</f>
        <v>-1900000</v>
      </c>
      <c r="D315" s="162">
        <v>-1634771.62</v>
      </c>
      <c r="E315" s="162">
        <f t="shared" si="4"/>
        <v>-265228.37999999989</v>
      </c>
    </row>
    <row r="316" spans="1:5" s="25" customFormat="1" x14ac:dyDescent="0.2">
      <c r="A316" s="136" t="s">
        <v>973</v>
      </c>
      <c r="B316" s="145" t="s">
        <v>71</v>
      </c>
      <c r="C316" s="162">
        <f>Dati!C317</f>
        <v>-1900000</v>
      </c>
      <c r="D316" s="162">
        <v>-2187405.7799999998</v>
      </c>
      <c r="E316" s="162">
        <f t="shared" si="4"/>
        <v>287405.7799999998</v>
      </c>
    </row>
    <row r="317" spans="1:5" s="25" customFormat="1" x14ac:dyDescent="0.2">
      <c r="A317" s="136" t="s">
        <v>974</v>
      </c>
      <c r="B317" s="145" t="s">
        <v>72</v>
      </c>
      <c r="C317" s="162">
        <f>Dati!C318</f>
        <v>-1800000</v>
      </c>
      <c r="D317" s="162">
        <v>-1153347.82</v>
      </c>
      <c r="E317" s="162">
        <f t="shared" si="4"/>
        <v>-646652.17999999993</v>
      </c>
    </row>
    <row r="318" spans="1:5" x14ac:dyDescent="0.2">
      <c r="A318" s="136" t="s">
        <v>975</v>
      </c>
      <c r="B318" s="145" t="s">
        <v>73</v>
      </c>
      <c r="C318" s="162">
        <f>Dati!C319</f>
        <v>-2200000</v>
      </c>
      <c r="D318" s="162">
        <v>-1754199.36</v>
      </c>
      <c r="E318" s="162">
        <f t="shared" si="4"/>
        <v>-445800.6399999999</v>
      </c>
    </row>
    <row r="319" spans="1:5" s="25" customFormat="1" x14ac:dyDescent="0.2">
      <c r="A319" s="136" t="s">
        <v>976</v>
      </c>
      <c r="B319" s="145" t="s">
        <v>74</v>
      </c>
      <c r="C319" s="162">
        <f>Dati!C320</f>
        <v>-10800000</v>
      </c>
      <c r="D319" s="162">
        <v>-3135071.23</v>
      </c>
      <c r="E319" s="162">
        <f t="shared" si="4"/>
        <v>-7664928.7699999996</v>
      </c>
    </row>
    <row r="320" spans="1:5" s="25" customFormat="1" x14ac:dyDescent="0.2">
      <c r="A320" s="136" t="s">
        <v>977</v>
      </c>
      <c r="B320" s="145" t="s">
        <v>75</v>
      </c>
      <c r="C320" s="162">
        <f>Dati!C321</f>
        <v>-735000</v>
      </c>
      <c r="D320" s="162">
        <v>-525027.18000000005</v>
      </c>
      <c r="E320" s="162">
        <f t="shared" si="4"/>
        <v>-209972.81999999995</v>
      </c>
    </row>
    <row r="321" spans="1:5" s="25" customFormat="1" x14ac:dyDescent="0.2">
      <c r="A321" s="141" t="s">
        <v>978</v>
      </c>
      <c r="B321" s="154" t="s">
        <v>76</v>
      </c>
      <c r="C321" s="160">
        <f>SUM(C322:C323)</f>
        <v>-713143</v>
      </c>
      <c r="D321" s="160">
        <v>-738451.24</v>
      </c>
      <c r="E321" s="160">
        <f t="shared" si="4"/>
        <v>25308.239999999991</v>
      </c>
    </row>
    <row r="322" spans="1:5" x14ac:dyDescent="0.2">
      <c r="A322" s="136" t="s">
        <v>979</v>
      </c>
      <c r="B322" s="143" t="s">
        <v>77</v>
      </c>
      <c r="C322" s="162">
        <f>Dati!C323</f>
        <v>-27263</v>
      </c>
      <c r="D322" s="162">
        <v>-30086.28</v>
      </c>
      <c r="E322" s="162">
        <f t="shared" si="4"/>
        <v>2823.2799999999988</v>
      </c>
    </row>
    <row r="323" spans="1:5" s="25" customFormat="1" x14ac:dyDescent="0.2">
      <c r="A323" s="136" t="s">
        <v>980</v>
      </c>
      <c r="B323" s="143" t="s">
        <v>78</v>
      </c>
      <c r="C323" s="162">
        <f>Dati!C324</f>
        <v>-685880</v>
      </c>
      <c r="D323" s="162">
        <v>-708364.96</v>
      </c>
      <c r="E323" s="162">
        <f t="shared" ref="E323:E386" si="5">C323-D323</f>
        <v>22484.959999999963</v>
      </c>
    </row>
    <row r="324" spans="1:5" s="25" customFormat="1" x14ac:dyDescent="0.2">
      <c r="A324" s="141" t="s">
        <v>981</v>
      </c>
      <c r="B324" s="154" t="s">
        <v>79</v>
      </c>
      <c r="C324" s="160">
        <f>SUM(C325:C327)</f>
        <v>-19701181.881816253</v>
      </c>
      <c r="D324" s="160">
        <v>-19308527.060000002</v>
      </c>
      <c r="E324" s="160">
        <f t="shared" si="5"/>
        <v>-392654.82181625068</v>
      </c>
    </row>
    <row r="325" spans="1:5" s="25" customFormat="1" ht="25.5" x14ac:dyDescent="0.2">
      <c r="A325" s="136" t="s">
        <v>982</v>
      </c>
      <c r="B325" s="143" t="s">
        <v>983</v>
      </c>
      <c r="C325" s="162">
        <f>Dati!C326</f>
        <v>-7031270.3599999994</v>
      </c>
      <c r="D325" s="162">
        <v>-6744320.4800000004</v>
      </c>
      <c r="E325" s="162">
        <f t="shared" si="5"/>
        <v>-286949.87999999896</v>
      </c>
    </row>
    <row r="326" spans="1:5" x14ac:dyDescent="0.2">
      <c r="A326" s="136" t="s">
        <v>984</v>
      </c>
      <c r="B326" s="143" t="s">
        <v>985</v>
      </c>
      <c r="C326" s="162">
        <f>Dati!C327</f>
        <v>-2387263</v>
      </c>
      <c r="D326" s="162">
        <v>-2088678.74</v>
      </c>
      <c r="E326" s="162">
        <f t="shared" si="5"/>
        <v>-298584.26</v>
      </c>
    </row>
    <row r="327" spans="1:5" x14ac:dyDescent="0.2">
      <c r="A327" s="136" t="s">
        <v>986</v>
      </c>
      <c r="B327" s="143" t="s">
        <v>80</v>
      </c>
      <c r="C327" s="162">
        <f>Dati!C328</f>
        <v>-10282648.521816254</v>
      </c>
      <c r="D327" s="162">
        <v>-10475527.84</v>
      </c>
      <c r="E327" s="162">
        <f t="shared" si="5"/>
        <v>192879.31818374619</v>
      </c>
    </row>
    <row r="328" spans="1:5" s="25" customFormat="1" ht="25.5" x14ac:dyDescent="0.2">
      <c r="A328" s="122" t="s">
        <v>987</v>
      </c>
      <c r="B328" s="126" t="s">
        <v>988</v>
      </c>
      <c r="C328" s="161">
        <f>SUM(C329:C331)+C338</f>
        <v>-1848518.8599999999</v>
      </c>
      <c r="D328" s="161">
        <v>-2607115.23</v>
      </c>
      <c r="E328" s="161">
        <f t="shared" si="5"/>
        <v>758596.37000000011</v>
      </c>
    </row>
    <row r="329" spans="1:5" s="25" customFormat="1" ht="25.5" x14ac:dyDescent="0.2">
      <c r="A329" s="136" t="s">
        <v>989</v>
      </c>
      <c r="B329" s="145" t="s">
        <v>990</v>
      </c>
      <c r="C329" s="162">
        <f>Dati!C330</f>
        <v>-6300</v>
      </c>
      <c r="D329" s="162">
        <v>-965.64</v>
      </c>
      <c r="E329" s="162">
        <f t="shared" si="5"/>
        <v>-5334.36</v>
      </c>
    </row>
    <row r="330" spans="1:5" s="25" customFormat="1" x14ac:dyDescent="0.2">
      <c r="A330" s="136" t="s">
        <v>991</v>
      </c>
      <c r="B330" s="145" t="s">
        <v>992</v>
      </c>
      <c r="C330" s="162">
        <f>Dati!C331</f>
        <v>0</v>
      </c>
      <c r="D330" s="162">
        <v>0</v>
      </c>
      <c r="E330" s="162">
        <f t="shared" si="5"/>
        <v>0</v>
      </c>
    </row>
    <row r="331" spans="1:5" ht="25.5" x14ac:dyDescent="0.2">
      <c r="A331" s="141" t="s">
        <v>993</v>
      </c>
      <c r="B331" s="154" t="s">
        <v>994</v>
      </c>
      <c r="C331" s="160">
        <f>SUM(C332:C337)</f>
        <v>-1623674.72</v>
      </c>
      <c r="D331" s="160">
        <v>-2373206.61</v>
      </c>
      <c r="E331" s="160">
        <f t="shared" si="5"/>
        <v>749531.8899999999</v>
      </c>
    </row>
    <row r="332" spans="1:5" s="25" customFormat="1" x14ac:dyDescent="0.2">
      <c r="A332" s="136" t="s">
        <v>995</v>
      </c>
      <c r="B332" s="143" t="s">
        <v>81</v>
      </c>
      <c r="C332" s="162">
        <f>Dati!C333</f>
        <v>-418051.72</v>
      </c>
      <c r="D332" s="162">
        <v>-462861.96</v>
      </c>
      <c r="E332" s="162">
        <f t="shared" si="5"/>
        <v>44810.240000000049</v>
      </c>
    </row>
    <row r="333" spans="1:5" s="25" customFormat="1" x14ac:dyDescent="0.2">
      <c r="A333" s="136" t="s">
        <v>996</v>
      </c>
      <c r="B333" s="143" t="s">
        <v>837</v>
      </c>
      <c r="C333" s="162">
        <f>Dati!C334</f>
        <v>-200623</v>
      </c>
      <c r="D333" s="162">
        <v>-241856.94</v>
      </c>
      <c r="E333" s="162">
        <f t="shared" si="5"/>
        <v>41233.94</v>
      </c>
    </row>
    <row r="334" spans="1:5" s="25" customFormat="1" x14ac:dyDescent="0.2">
      <c r="A334" s="136" t="s">
        <v>997</v>
      </c>
      <c r="B334" s="143" t="s">
        <v>998</v>
      </c>
      <c r="C334" s="162">
        <f>Dati!C335</f>
        <v>0</v>
      </c>
      <c r="D334" s="162">
        <v>0</v>
      </c>
      <c r="E334" s="162">
        <f t="shared" si="5"/>
        <v>0</v>
      </c>
    </row>
    <row r="335" spans="1:5" x14ac:dyDescent="0.2">
      <c r="A335" s="136" t="s">
        <v>999</v>
      </c>
      <c r="B335" s="143" t="s">
        <v>1000</v>
      </c>
      <c r="C335" s="162">
        <f>Dati!C336</f>
        <v>-600000</v>
      </c>
      <c r="D335" s="162">
        <v>-1059402.29</v>
      </c>
      <c r="E335" s="162">
        <f t="shared" si="5"/>
        <v>459402.29000000004</v>
      </c>
    </row>
    <row r="336" spans="1:5" x14ac:dyDescent="0.2">
      <c r="A336" s="136" t="s">
        <v>1001</v>
      </c>
      <c r="B336" s="143" t="s">
        <v>1002</v>
      </c>
      <c r="C336" s="162">
        <f>Dati!C337</f>
        <v>-405000</v>
      </c>
      <c r="D336" s="162">
        <v>-609085.42000000004</v>
      </c>
      <c r="E336" s="162">
        <f t="shared" si="5"/>
        <v>204085.42000000004</v>
      </c>
    </row>
    <row r="337" spans="1:5" s="25" customFormat="1" ht="38.25" x14ac:dyDescent="0.2">
      <c r="A337" s="136" t="s">
        <v>1275</v>
      </c>
      <c r="B337" s="143" t="s">
        <v>1276</v>
      </c>
      <c r="C337" s="162">
        <f>Dati!C338</f>
        <v>0</v>
      </c>
      <c r="D337" s="162">
        <v>0</v>
      </c>
      <c r="E337" s="162">
        <f t="shared" si="5"/>
        <v>0</v>
      </c>
    </row>
    <row r="338" spans="1:5" s="25" customFormat="1" x14ac:dyDescent="0.2">
      <c r="A338" s="141" t="s">
        <v>1003</v>
      </c>
      <c r="B338" s="154" t="s">
        <v>838</v>
      </c>
      <c r="C338" s="160">
        <f>SUM(C339:C341)</f>
        <v>-218544.14</v>
      </c>
      <c r="D338" s="160">
        <v>-232942.98</v>
      </c>
      <c r="E338" s="160">
        <f t="shared" si="5"/>
        <v>14398.839999999997</v>
      </c>
    </row>
    <row r="339" spans="1:5" s="25" customFormat="1" ht="25.5" x14ac:dyDescent="0.2">
      <c r="A339" s="136" t="s">
        <v>1004</v>
      </c>
      <c r="B339" s="143" t="s">
        <v>1005</v>
      </c>
      <c r="C339" s="162">
        <f>Dati!C340</f>
        <v>-218544.14</v>
      </c>
      <c r="D339" s="162">
        <v>-232942.98</v>
      </c>
      <c r="E339" s="162">
        <f t="shared" si="5"/>
        <v>14398.839999999997</v>
      </c>
    </row>
    <row r="340" spans="1:5" ht="25.5" x14ac:dyDescent="0.2">
      <c r="A340" s="136" t="s">
        <v>1006</v>
      </c>
      <c r="B340" s="143" t="s">
        <v>1007</v>
      </c>
      <c r="C340" s="162">
        <f>Dati!C341</f>
        <v>0</v>
      </c>
      <c r="D340" s="162">
        <v>0</v>
      </c>
      <c r="E340" s="162">
        <f t="shared" si="5"/>
        <v>0</v>
      </c>
    </row>
    <row r="341" spans="1:5" s="25" customFormat="1" ht="25.5" x14ac:dyDescent="0.2">
      <c r="A341" s="136" t="s">
        <v>1008</v>
      </c>
      <c r="B341" s="143" t="s">
        <v>839</v>
      </c>
      <c r="C341" s="162">
        <f>Dati!C342</f>
        <v>0</v>
      </c>
      <c r="D341" s="162">
        <v>0</v>
      </c>
      <c r="E341" s="162">
        <f t="shared" si="5"/>
        <v>0</v>
      </c>
    </row>
    <row r="342" spans="1:5" s="25" customFormat="1" x14ac:dyDescent="0.2">
      <c r="A342" s="122" t="s">
        <v>1009</v>
      </c>
      <c r="B342" s="126" t="s">
        <v>840</v>
      </c>
      <c r="C342" s="161">
        <f>SUM(C343:C344)</f>
        <v>-425000</v>
      </c>
      <c r="D342" s="161">
        <v>-510321.64</v>
      </c>
      <c r="E342" s="161">
        <f t="shared" si="5"/>
        <v>85321.640000000014</v>
      </c>
    </row>
    <row r="343" spans="1:5" s="25" customFormat="1" x14ac:dyDescent="0.2">
      <c r="A343" s="136" t="s">
        <v>1010</v>
      </c>
      <c r="B343" s="145" t="s">
        <v>841</v>
      </c>
      <c r="C343" s="162">
        <f>Dati!C344</f>
        <v>-200000</v>
      </c>
      <c r="D343" s="162">
        <v>-200722</v>
      </c>
      <c r="E343" s="162">
        <f t="shared" si="5"/>
        <v>722</v>
      </c>
    </row>
    <row r="344" spans="1:5" x14ac:dyDescent="0.2">
      <c r="A344" s="136" t="s">
        <v>1011</v>
      </c>
      <c r="B344" s="145" t="s">
        <v>842</v>
      </c>
      <c r="C344" s="162">
        <f>Dati!C345</f>
        <v>-225000</v>
      </c>
      <c r="D344" s="162">
        <v>-309599.64</v>
      </c>
      <c r="E344" s="162">
        <f t="shared" si="5"/>
        <v>84599.640000000014</v>
      </c>
    </row>
    <row r="345" spans="1:5" x14ac:dyDescent="0.2">
      <c r="A345" s="122" t="s">
        <v>1012</v>
      </c>
      <c r="B345" s="124" t="s">
        <v>843</v>
      </c>
      <c r="C345" s="161">
        <f>SUM(C346:C352)</f>
        <v>-14791666.98</v>
      </c>
      <c r="D345" s="161">
        <v>-12778419.529999999</v>
      </c>
      <c r="E345" s="161">
        <f t="shared" si="5"/>
        <v>-2013247.4500000011</v>
      </c>
    </row>
    <row r="346" spans="1:5" s="25" customFormat="1" x14ac:dyDescent="0.2">
      <c r="A346" s="120" t="s">
        <v>1013</v>
      </c>
      <c r="B346" s="137" t="s">
        <v>1014</v>
      </c>
      <c r="C346" s="162">
        <f>Dati!C347</f>
        <v>-4922000</v>
      </c>
      <c r="D346" s="162">
        <v>-3345261.38</v>
      </c>
      <c r="E346" s="162">
        <f t="shared" si="5"/>
        <v>-1576738.62</v>
      </c>
    </row>
    <row r="347" spans="1:5" s="25" customFormat="1" x14ac:dyDescent="0.2">
      <c r="A347" s="120" t="s">
        <v>1015</v>
      </c>
      <c r="B347" s="137" t="s">
        <v>1016</v>
      </c>
      <c r="C347" s="162">
        <f>Dati!C348</f>
        <v>-5000</v>
      </c>
      <c r="D347" s="162">
        <v>-55227.62</v>
      </c>
      <c r="E347" s="162">
        <f t="shared" si="5"/>
        <v>50227.62</v>
      </c>
    </row>
    <row r="348" spans="1:5" s="25" customFormat="1" x14ac:dyDescent="0.2">
      <c r="A348" s="120" t="s">
        <v>1017</v>
      </c>
      <c r="B348" s="137" t="s">
        <v>1018</v>
      </c>
      <c r="C348" s="162">
        <f>Dati!C349</f>
        <v>-5349000</v>
      </c>
      <c r="D348" s="162">
        <v>-4769461.45</v>
      </c>
      <c r="E348" s="162">
        <f t="shared" si="5"/>
        <v>-579538.54999999981</v>
      </c>
    </row>
    <row r="349" spans="1:5" x14ac:dyDescent="0.2">
      <c r="A349" s="120" t="s">
        <v>1019</v>
      </c>
      <c r="B349" s="137" t="s">
        <v>1020</v>
      </c>
      <c r="C349" s="162">
        <f>Dati!C350</f>
        <v>-100000</v>
      </c>
      <c r="D349" s="162">
        <v>-81266.320000000007</v>
      </c>
      <c r="E349" s="162">
        <f t="shared" si="5"/>
        <v>-18733.679999999993</v>
      </c>
    </row>
    <row r="350" spans="1:5" s="25" customFormat="1" x14ac:dyDescent="0.2">
      <c r="A350" s="120" t="s">
        <v>1021</v>
      </c>
      <c r="B350" s="137" t="s">
        <v>1022</v>
      </c>
      <c r="C350" s="162">
        <f>Dati!C351</f>
        <v>-500000</v>
      </c>
      <c r="D350" s="162">
        <v>-542961.16</v>
      </c>
      <c r="E350" s="162">
        <f t="shared" si="5"/>
        <v>42961.160000000033</v>
      </c>
    </row>
    <row r="351" spans="1:5" s="25" customFormat="1" x14ac:dyDescent="0.2">
      <c r="A351" s="120" t="s">
        <v>1023</v>
      </c>
      <c r="B351" s="137" t="s">
        <v>1024</v>
      </c>
      <c r="C351" s="162">
        <f>Dati!C352</f>
        <v>-3915666.98</v>
      </c>
      <c r="D351" s="162">
        <v>-3984241.6</v>
      </c>
      <c r="E351" s="162">
        <f t="shared" si="5"/>
        <v>68574.620000000112</v>
      </c>
    </row>
    <row r="352" spans="1:5" s="25" customFormat="1" x14ac:dyDescent="0.2">
      <c r="A352" s="120" t="s">
        <v>1025</v>
      </c>
      <c r="B352" s="137" t="s">
        <v>1026</v>
      </c>
      <c r="C352" s="162">
        <f>Dati!C353</f>
        <v>0</v>
      </c>
      <c r="D352" s="162">
        <v>0</v>
      </c>
      <c r="E352" s="162">
        <f t="shared" si="5"/>
        <v>0</v>
      </c>
    </row>
    <row r="353" spans="1:5" x14ac:dyDescent="0.2">
      <c r="A353" s="122" t="s">
        <v>1027</v>
      </c>
      <c r="B353" s="124" t="s">
        <v>844</v>
      </c>
      <c r="C353" s="161">
        <f>C354+C355+C358+C361+C362</f>
        <v>-6572700</v>
      </c>
      <c r="D353" s="161">
        <v>-5307036.24</v>
      </c>
      <c r="E353" s="161">
        <f t="shared" si="5"/>
        <v>-1265663.7599999998</v>
      </c>
    </row>
    <row r="354" spans="1:5" s="25" customFormat="1" x14ac:dyDescent="0.2">
      <c r="A354" s="120" t="s">
        <v>1028</v>
      </c>
      <c r="B354" s="137" t="s">
        <v>1029</v>
      </c>
      <c r="C354" s="162">
        <f>Dati!C355</f>
        <v>-3011200</v>
      </c>
      <c r="D354" s="162">
        <v>-1889175.05</v>
      </c>
      <c r="E354" s="162">
        <f t="shared" si="5"/>
        <v>-1122024.95</v>
      </c>
    </row>
    <row r="355" spans="1:5" s="25" customFormat="1" x14ac:dyDescent="0.2">
      <c r="A355" s="122" t="s">
        <v>1030</v>
      </c>
      <c r="B355" s="139" t="s">
        <v>845</v>
      </c>
      <c r="C355" s="161">
        <f>SUM(C356:C357)</f>
        <v>-3561500</v>
      </c>
      <c r="D355" s="161">
        <v>-3417861.1900000004</v>
      </c>
      <c r="E355" s="161">
        <f t="shared" si="5"/>
        <v>-143638.80999999959</v>
      </c>
    </row>
    <row r="356" spans="1:5" x14ac:dyDescent="0.2">
      <c r="A356" s="136" t="s">
        <v>1031</v>
      </c>
      <c r="B356" s="138" t="s">
        <v>846</v>
      </c>
      <c r="C356" s="162">
        <f>Dati!C357</f>
        <v>-2500000</v>
      </c>
      <c r="D356" s="162">
        <v>-1994041.36</v>
      </c>
      <c r="E356" s="162">
        <f t="shared" si="5"/>
        <v>-505958.6399999999</v>
      </c>
    </row>
    <row r="357" spans="1:5" s="25" customFormat="1" x14ac:dyDescent="0.2">
      <c r="A357" s="136" t="s">
        <v>1032</v>
      </c>
      <c r="B357" s="138" t="s">
        <v>847</v>
      </c>
      <c r="C357" s="162">
        <f>Dati!C358</f>
        <v>-1061500</v>
      </c>
      <c r="D357" s="162">
        <v>-1423819.83</v>
      </c>
      <c r="E357" s="162">
        <f t="shared" si="5"/>
        <v>362319.83000000007</v>
      </c>
    </row>
    <row r="358" spans="1:5" s="25" customFormat="1" x14ac:dyDescent="0.2">
      <c r="A358" s="122" t="s">
        <v>1033</v>
      </c>
      <c r="B358" s="139" t="s">
        <v>848</v>
      </c>
      <c r="C358" s="161">
        <f>SUM(C359:C360)</f>
        <v>0</v>
      </c>
      <c r="D358" s="161">
        <v>0</v>
      </c>
      <c r="E358" s="161">
        <f t="shared" si="5"/>
        <v>0</v>
      </c>
    </row>
    <row r="359" spans="1:5" x14ac:dyDescent="0.2">
      <c r="A359" s="136" t="s">
        <v>1034</v>
      </c>
      <c r="B359" s="138" t="s">
        <v>849</v>
      </c>
      <c r="C359" s="162">
        <f>Dati!C360</f>
        <v>0</v>
      </c>
      <c r="D359" s="162">
        <v>0</v>
      </c>
      <c r="E359" s="162">
        <f t="shared" si="5"/>
        <v>0</v>
      </c>
    </row>
    <row r="360" spans="1:5" s="25" customFormat="1" x14ac:dyDescent="0.2">
      <c r="A360" s="136" t="s">
        <v>1035</v>
      </c>
      <c r="B360" s="138" t="s">
        <v>850</v>
      </c>
      <c r="C360" s="162">
        <f>Dati!C361</f>
        <v>0</v>
      </c>
      <c r="D360" s="162">
        <v>0</v>
      </c>
      <c r="E360" s="162">
        <f t="shared" si="5"/>
        <v>0</v>
      </c>
    </row>
    <row r="361" spans="1:5" x14ac:dyDescent="0.2">
      <c r="A361" s="136" t="s">
        <v>1277</v>
      </c>
      <c r="B361" s="137" t="s">
        <v>1278</v>
      </c>
      <c r="C361" s="162">
        <f>Dati!C362</f>
        <v>0</v>
      </c>
      <c r="D361" s="162">
        <v>0</v>
      </c>
      <c r="E361" s="162">
        <f t="shared" si="5"/>
        <v>0</v>
      </c>
    </row>
    <row r="362" spans="1:5" x14ac:dyDescent="0.2">
      <c r="A362" s="120" t="s">
        <v>1036</v>
      </c>
      <c r="B362" s="137" t="s">
        <v>1279</v>
      </c>
      <c r="C362" s="162">
        <f>Dati!C363</f>
        <v>0</v>
      </c>
      <c r="D362" s="162">
        <v>0</v>
      </c>
      <c r="E362" s="162">
        <f t="shared" si="5"/>
        <v>0</v>
      </c>
    </row>
    <row r="363" spans="1:5" s="25" customFormat="1" x14ac:dyDescent="0.2">
      <c r="A363" s="129" t="s">
        <v>1037</v>
      </c>
      <c r="B363" s="125" t="s">
        <v>851</v>
      </c>
      <c r="C363" s="160">
        <f>C364+C378+C387+C396</f>
        <v>-259684809.79288375</v>
      </c>
      <c r="D363" s="160">
        <v>-266692427.03</v>
      </c>
      <c r="E363" s="160">
        <f t="shared" si="5"/>
        <v>7007617.2371162474</v>
      </c>
    </row>
    <row r="364" spans="1:5" s="25" customFormat="1" x14ac:dyDescent="0.2">
      <c r="A364" s="122" t="s">
        <v>1038</v>
      </c>
      <c r="B364" s="124" t="s">
        <v>852</v>
      </c>
      <c r="C364" s="160">
        <f>C365+C374</f>
        <v>-207142225.69804513</v>
      </c>
      <c r="D364" s="160">
        <v>-212426485.25999999</v>
      </c>
      <c r="E364" s="160">
        <f t="shared" si="5"/>
        <v>5284259.5619548559</v>
      </c>
    </row>
    <row r="365" spans="1:5" s="25" customFormat="1" x14ac:dyDescent="0.2">
      <c r="A365" s="122" t="s">
        <v>1039</v>
      </c>
      <c r="B365" s="125" t="s">
        <v>853</v>
      </c>
      <c r="C365" s="160">
        <f>C366+C370</f>
        <v>-92757221.558654293</v>
      </c>
      <c r="D365" s="160">
        <v>-90283414.349999994</v>
      </c>
      <c r="E365" s="160">
        <f t="shared" si="5"/>
        <v>-2473807.2086542994</v>
      </c>
    </row>
    <row r="366" spans="1:5" x14ac:dyDescent="0.2">
      <c r="A366" s="122" t="s">
        <v>1040</v>
      </c>
      <c r="B366" s="126" t="s">
        <v>854</v>
      </c>
      <c r="C366" s="161">
        <f>SUM(C367:C369)</f>
        <v>-79827991.815555483</v>
      </c>
      <c r="D366" s="161">
        <v>-77489155.25</v>
      </c>
      <c r="E366" s="161">
        <f t="shared" si="5"/>
        <v>-2338836.5655554831</v>
      </c>
    </row>
    <row r="367" spans="1:5" s="25" customFormat="1" x14ac:dyDescent="0.2">
      <c r="A367" s="136" t="s">
        <v>1041</v>
      </c>
      <c r="B367" s="145" t="s">
        <v>1042</v>
      </c>
      <c r="C367" s="162">
        <f>Dati!C368</f>
        <v>-77569935.421934679</v>
      </c>
      <c r="D367" s="162">
        <v>-74441269.379999995</v>
      </c>
      <c r="E367" s="162">
        <f t="shared" si="5"/>
        <v>-3128666.0419346839</v>
      </c>
    </row>
    <row r="368" spans="1:5" s="25" customFormat="1" x14ac:dyDescent="0.2">
      <c r="A368" s="136" t="s">
        <v>1043</v>
      </c>
      <c r="B368" s="145" t="s">
        <v>1044</v>
      </c>
      <c r="C368" s="162">
        <f>Dati!C369</f>
        <v>-2258056.3936208053</v>
      </c>
      <c r="D368" s="162">
        <v>-3047885.87</v>
      </c>
      <c r="E368" s="162">
        <f t="shared" si="5"/>
        <v>789829.47637919476</v>
      </c>
    </row>
    <row r="369" spans="1:5" x14ac:dyDescent="0.2">
      <c r="A369" s="136" t="s">
        <v>1045</v>
      </c>
      <c r="B369" s="145" t="s">
        <v>1046</v>
      </c>
      <c r="C369" s="162">
        <f>Dati!C370</f>
        <v>0</v>
      </c>
      <c r="D369" s="162">
        <v>0</v>
      </c>
      <c r="E369" s="162">
        <f t="shared" si="5"/>
        <v>0</v>
      </c>
    </row>
    <row r="370" spans="1:5" s="25" customFormat="1" x14ac:dyDescent="0.2">
      <c r="A370" s="122" t="s">
        <v>1047</v>
      </c>
      <c r="B370" s="126" t="s">
        <v>855</v>
      </c>
      <c r="C370" s="161">
        <f>SUM(C371:C373)</f>
        <v>-12929229.743098816</v>
      </c>
      <c r="D370" s="161">
        <v>-12794259.1</v>
      </c>
      <c r="E370" s="161">
        <f t="shared" si="5"/>
        <v>-134970.64309881628</v>
      </c>
    </row>
    <row r="371" spans="1:5" s="25" customFormat="1" x14ac:dyDescent="0.2">
      <c r="A371" s="136" t="s">
        <v>1048</v>
      </c>
      <c r="B371" s="145" t="s">
        <v>1049</v>
      </c>
      <c r="C371" s="162">
        <f>Dati!C372</f>
        <v>-12844732.115087114</v>
      </c>
      <c r="D371" s="162">
        <v>-12501575.029999999</v>
      </c>
      <c r="E371" s="162">
        <f t="shared" si="5"/>
        <v>-343157.08508711495</v>
      </c>
    </row>
    <row r="372" spans="1:5" x14ac:dyDescent="0.2">
      <c r="A372" s="136" t="s">
        <v>1050</v>
      </c>
      <c r="B372" s="145" t="s">
        <v>735</v>
      </c>
      <c r="C372" s="162">
        <f>Dati!C373</f>
        <v>-84497.628011700828</v>
      </c>
      <c r="D372" s="162">
        <v>-292684.07</v>
      </c>
      <c r="E372" s="162">
        <f t="shared" si="5"/>
        <v>208186.44198829919</v>
      </c>
    </row>
    <row r="373" spans="1:5" x14ac:dyDescent="0.2">
      <c r="A373" s="136" t="s">
        <v>736</v>
      </c>
      <c r="B373" s="145" t="s">
        <v>737</v>
      </c>
      <c r="C373" s="162">
        <f>Dati!C374</f>
        <v>0</v>
      </c>
      <c r="D373" s="162">
        <v>0</v>
      </c>
      <c r="E373" s="162">
        <f t="shared" si="5"/>
        <v>0</v>
      </c>
    </row>
    <row r="374" spans="1:5" s="25" customFormat="1" x14ac:dyDescent="0.2">
      <c r="A374" s="122" t="s">
        <v>738</v>
      </c>
      <c r="B374" s="126" t="s">
        <v>859</v>
      </c>
      <c r="C374" s="161">
        <f>SUM(C375:C377)</f>
        <v>-114385004.13939084</v>
      </c>
      <c r="D374" s="161">
        <v>-122143070.91</v>
      </c>
      <c r="E374" s="161">
        <f t="shared" si="5"/>
        <v>7758066.7706091553</v>
      </c>
    </row>
    <row r="375" spans="1:5" s="25" customFormat="1" x14ac:dyDescent="0.2">
      <c r="A375" s="136" t="s">
        <v>739</v>
      </c>
      <c r="B375" s="145" t="s">
        <v>740</v>
      </c>
      <c r="C375" s="162">
        <f>Dati!C376</f>
        <v>-109549054.30505455</v>
      </c>
      <c r="D375" s="162">
        <v>-116810380.22</v>
      </c>
      <c r="E375" s="162">
        <f t="shared" si="5"/>
        <v>7261325.9149454534</v>
      </c>
    </row>
    <row r="376" spans="1:5" s="25" customFormat="1" x14ac:dyDescent="0.2">
      <c r="A376" s="136" t="s">
        <v>741</v>
      </c>
      <c r="B376" s="145" t="s">
        <v>742</v>
      </c>
      <c r="C376" s="162">
        <f>Dati!C377</f>
        <v>-4752858.4478220241</v>
      </c>
      <c r="D376" s="162">
        <v>-5285663.6100000003</v>
      </c>
      <c r="E376" s="162">
        <f t="shared" si="5"/>
        <v>532805.16217797622</v>
      </c>
    </row>
    <row r="377" spans="1:5" s="25" customFormat="1" x14ac:dyDescent="0.2">
      <c r="A377" s="136" t="s">
        <v>743</v>
      </c>
      <c r="B377" s="145" t="s">
        <v>744</v>
      </c>
      <c r="C377" s="162">
        <f>Dati!C378</f>
        <v>-83091.386514270416</v>
      </c>
      <c r="D377" s="162">
        <v>-47027.08</v>
      </c>
      <c r="E377" s="162">
        <f t="shared" si="5"/>
        <v>-36064.306514270414</v>
      </c>
    </row>
    <row r="378" spans="1:5" s="25" customFormat="1" x14ac:dyDescent="0.2">
      <c r="A378" s="122" t="s">
        <v>745</v>
      </c>
      <c r="B378" s="124" t="s">
        <v>860</v>
      </c>
      <c r="C378" s="161">
        <f>C379+C383</f>
        <v>-2494017.7890154216</v>
      </c>
      <c r="D378" s="161">
        <v>-2374278.5299999998</v>
      </c>
      <c r="E378" s="161">
        <f t="shared" si="5"/>
        <v>-119739.25901542185</v>
      </c>
    </row>
    <row r="379" spans="1:5" s="25" customFormat="1" x14ac:dyDescent="0.2">
      <c r="A379" s="122" t="s">
        <v>746</v>
      </c>
      <c r="B379" s="125" t="s">
        <v>861</v>
      </c>
      <c r="C379" s="161">
        <f>SUM(C380:C382)</f>
        <v>-2494017.7890154216</v>
      </c>
      <c r="D379" s="161">
        <v>-2374278.5299999998</v>
      </c>
      <c r="E379" s="161">
        <f t="shared" si="5"/>
        <v>-119739.25901542185</v>
      </c>
    </row>
    <row r="380" spans="1:5" x14ac:dyDescent="0.2">
      <c r="A380" s="136" t="s">
        <v>747</v>
      </c>
      <c r="B380" s="138" t="s">
        <v>748</v>
      </c>
      <c r="C380" s="162">
        <f>Dati!C381</f>
        <v>-2302537.4236832256</v>
      </c>
      <c r="D380" s="162">
        <v>-2216442.17</v>
      </c>
      <c r="E380" s="162">
        <f t="shared" si="5"/>
        <v>-86095.253683225717</v>
      </c>
    </row>
    <row r="381" spans="1:5" s="25" customFormat="1" x14ac:dyDescent="0.2">
      <c r="A381" s="136" t="s">
        <v>749</v>
      </c>
      <c r="B381" s="138" t="s">
        <v>750</v>
      </c>
      <c r="C381" s="162">
        <f>Dati!C382</f>
        <v>-191480.36533219594</v>
      </c>
      <c r="D381" s="162">
        <v>-157836.35999999999</v>
      </c>
      <c r="E381" s="162">
        <f t="shared" si="5"/>
        <v>-33644.005332195957</v>
      </c>
    </row>
    <row r="382" spans="1:5" s="25" customFormat="1" x14ac:dyDescent="0.2">
      <c r="A382" s="136" t="s">
        <v>751</v>
      </c>
      <c r="B382" s="138" t="s">
        <v>752</v>
      </c>
      <c r="C382" s="162">
        <f>Dati!C383</f>
        <v>0</v>
      </c>
      <c r="D382" s="162">
        <v>0</v>
      </c>
      <c r="E382" s="162">
        <f t="shared" si="5"/>
        <v>0</v>
      </c>
    </row>
    <row r="383" spans="1:5" s="25" customFormat="1" x14ac:dyDescent="0.2">
      <c r="A383" s="122" t="s">
        <v>753</v>
      </c>
      <c r="B383" s="125" t="s">
        <v>862</v>
      </c>
      <c r="C383" s="161">
        <f>SUM(C384:C386)</f>
        <v>0</v>
      </c>
      <c r="D383" s="161">
        <v>0</v>
      </c>
      <c r="E383" s="161">
        <f t="shared" si="5"/>
        <v>0</v>
      </c>
    </row>
    <row r="384" spans="1:5" s="25" customFormat="1" x14ac:dyDescent="0.2">
      <c r="A384" s="136" t="s">
        <v>754</v>
      </c>
      <c r="B384" s="138" t="s">
        <v>755</v>
      </c>
      <c r="C384" s="162">
        <f>Dati!C385</f>
        <v>0</v>
      </c>
      <c r="D384" s="162">
        <v>0</v>
      </c>
      <c r="E384" s="162">
        <f t="shared" si="5"/>
        <v>0</v>
      </c>
    </row>
    <row r="385" spans="1:5" x14ac:dyDescent="0.2">
      <c r="A385" s="136" t="s">
        <v>756</v>
      </c>
      <c r="B385" s="138" t="s">
        <v>757</v>
      </c>
      <c r="C385" s="162">
        <f>Dati!C386</f>
        <v>0</v>
      </c>
      <c r="D385" s="162">
        <v>0</v>
      </c>
      <c r="E385" s="162">
        <f t="shared" si="5"/>
        <v>0</v>
      </c>
    </row>
    <row r="386" spans="1:5" s="25" customFormat="1" x14ac:dyDescent="0.2">
      <c r="A386" s="136" t="s">
        <v>758</v>
      </c>
      <c r="B386" s="138" t="s">
        <v>759</v>
      </c>
      <c r="C386" s="162">
        <f>Dati!C387</f>
        <v>0</v>
      </c>
      <c r="D386" s="162">
        <v>0</v>
      </c>
      <c r="E386" s="162">
        <f t="shared" si="5"/>
        <v>0</v>
      </c>
    </row>
    <row r="387" spans="1:5" s="25" customFormat="1" x14ac:dyDescent="0.2">
      <c r="A387" s="122" t="s">
        <v>760</v>
      </c>
      <c r="B387" s="124" t="s">
        <v>863</v>
      </c>
      <c r="C387" s="161">
        <f>C388+C392</f>
        <v>-30794828.560118198</v>
      </c>
      <c r="D387" s="161">
        <v>-31983517.52</v>
      </c>
      <c r="E387" s="161">
        <f t="shared" ref="E387:E450" si="6">C387-D387</f>
        <v>1188688.9598818012</v>
      </c>
    </row>
    <row r="388" spans="1:5" s="25" customFormat="1" x14ac:dyDescent="0.2">
      <c r="A388" s="122" t="s">
        <v>761</v>
      </c>
      <c r="B388" s="125" t="s">
        <v>864</v>
      </c>
      <c r="C388" s="161">
        <f>SUM(C389:C391)</f>
        <v>-641028.63376357255</v>
      </c>
      <c r="D388" s="161">
        <v>-672978.81</v>
      </c>
      <c r="E388" s="161">
        <f t="shared" si="6"/>
        <v>31950.176236427506</v>
      </c>
    </row>
    <row r="389" spans="1:5" s="25" customFormat="1" x14ac:dyDescent="0.2">
      <c r="A389" s="136" t="s">
        <v>762</v>
      </c>
      <c r="B389" s="138" t="s">
        <v>763</v>
      </c>
      <c r="C389" s="162">
        <f>Dati!C390</f>
        <v>-473963.00906280213</v>
      </c>
      <c r="D389" s="162">
        <v>-544611.68000000005</v>
      </c>
      <c r="E389" s="162">
        <f t="shared" si="6"/>
        <v>70648.670937197923</v>
      </c>
    </row>
    <row r="390" spans="1:5" s="25" customFormat="1" x14ac:dyDescent="0.2">
      <c r="A390" s="136" t="s">
        <v>764</v>
      </c>
      <c r="B390" s="138" t="s">
        <v>765</v>
      </c>
      <c r="C390" s="162">
        <f>Dati!C391</f>
        <v>-167065.62470077039</v>
      </c>
      <c r="D390" s="162">
        <v>-128367.13</v>
      </c>
      <c r="E390" s="162">
        <f t="shared" si="6"/>
        <v>-38698.494700770389</v>
      </c>
    </row>
    <row r="391" spans="1:5" s="25" customFormat="1" x14ac:dyDescent="0.2">
      <c r="A391" s="136" t="s">
        <v>766</v>
      </c>
      <c r="B391" s="138" t="s">
        <v>767</v>
      </c>
      <c r="C391" s="162">
        <f>Dati!C392</f>
        <v>0</v>
      </c>
      <c r="D391" s="162">
        <v>0</v>
      </c>
      <c r="E391" s="162">
        <f t="shared" si="6"/>
        <v>0</v>
      </c>
    </row>
    <row r="392" spans="1:5" s="25" customFormat="1" x14ac:dyDescent="0.2">
      <c r="A392" s="122" t="s">
        <v>768</v>
      </c>
      <c r="B392" s="125" t="s">
        <v>865</v>
      </c>
      <c r="C392" s="161">
        <f>SUM(C393:C395)</f>
        <v>-30153799.926354624</v>
      </c>
      <c r="D392" s="161">
        <v>-31310538.710000001</v>
      </c>
      <c r="E392" s="161">
        <f t="shared" si="6"/>
        <v>1156738.7836453766</v>
      </c>
    </row>
    <row r="393" spans="1:5" x14ac:dyDescent="0.2">
      <c r="A393" s="136" t="s">
        <v>769</v>
      </c>
      <c r="B393" s="138" t="s">
        <v>770</v>
      </c>
      <c r="C393" s="162">
        <f>Dati!C394</f>
        <v>-24955180.023479406</v>
      </c>
      <c r="D393" s="162">
        <v>-24394247.75</v>
      </c>
      <c r="E393" s="162">
        <f t="shared" si="6"/>
        <v>-560932.27347940579</v>
      </c>
    </row>
    <row r="394" spans="1:5" x14ac:dyDescent="0.2">
      <c r="A394" s="136" t="s">
        <v>771</v>
      </c>
      <c r="B394" s="138" t="s">
        <v>772</v>
      </c>
      <c r="C394" s="162">
        <f>Dati!C395</f>
        <v>-5198619.9028752185</v>
      </c>
      <c r="D394" s="162">
        <v>-6916290.96</v>
      </c>
      <c r="E394" s="162">
        <f t="shared" si="6"/>
        <v>1717671.0571247814</v>
      </c>
    </row>
    <row r="395" spans="1:5" x14ac:dyDescent="0.2">
      <c r="A395" s="136" t="s">
        <v>773</v>
      </c>
      <c r="B395" s="138" t="s">
        <v>776</v>
      </c>
      <c r="C395" s="162">
        <f>Dati!C396</f>
        <v>0</v>
      </c>
      <c r="D395" s="162">
        <v>0</v>
      </c>
      <c r="E395" s="162">
        <f t="shared" si="6"/>
        <v>0</v>
      </c>
    </row>
    <row r="396" spans="1:5" s="25" customFormat="1" x14ac:dyDescent="0.2">
      <c r="A396" s="122" t="s">
        <v>777</v>
      </c>
      <c r="B396" s="124" t="s">
        <v>866</v>
      </c>
      <c r="C396" s="161">
        <f>C397+C401</f>
        <v>-19253737.745705023</v>
      </c>
      <c r="D396" s="161">
        <v>-19908145.720000003</v>
      </c>
      <c r="E396" s="161">
        <f t="shared" si="6"/>
        <v>654407.97429497913</v>
      </c>
    </row>
    <row r="397" spans="1:5" s="25" customFormat="1" x14ac:dyDescent="0.2">
      <c r="A397" s="122" t="s">
        <v>778</v>
      </c>
      <c r="B397" s="125" t="s">
        <v>867</v>
      </c>
      <c r="C397" s="161">
        <f>SUM(C398:C400)</f>
        <v>-1933572.6298876477</v>
      </c>
      <c r="D397" s="161">
        <v>-1865521.69</v>
      </c>
      <c r="E397" s="161">
        <f t="shared" si="6"/>
        <v>-68050.93988764775</v>
      </c>
    </row>
    <row r="398" spans="1:5" s="25" customFormat="1" ht="25.5" x14ac:dyDescent="0.2">
      <c r="A398" s="136" t="s">
        <v>779</v>
      </c>
      <c r="B398" s="138" t="s">
        <v>780</v>
      </c>
      <c r="C398" s="162">
        <f>Dati!C399</f>
        <v>-1804108.2703988852</v>
      </c>
      <c r="D398" s="162">
        <v>-1781316.32</v>
      </c>
      <c r="E398" s="162">
        <f t="shared" si="6"/>
        <v>-22791.950398885179</v>
      </c>
    </row>
    <row r="399" spans="1:5" x14ac:dyDescent="0.2">
      <c r="A399" s="136" t="s">
        <v>781</v>
      </c>
      <c r="B399" s="138" t="s">
        <v>782</v>
      </c>
      <c r="C399" s="162">
        <f>Dati!C400</f>
        <v>-129464.35948876241</v>
      </c>
      <c r="D399" s="162">
        <v>-84205.37</v>
      </c>
      <c r="E399" s="162">
        <f t="shared" si="6"/>
        <v>-45258.98948876241</v>
      </c>
    </row>
    <row r="400" spans="1:5" s="25" customFormat="1" x14ac:dyDescent="0.2">
      <c r="A400" s="136" t="s">
        <v>783</v>
      </c>
      <c r="B400" s="138" t="s">
        <v>784</v>
      </c>
      <c r="C400" s="162">
        <f>Dati!C401</f>
        <v>0</v>
      </c>
      <c r="D400" s="162">
        <v>0</v>
      </c>
      <c r="E400" s="162">
        <f t="shared" si="6"/>
        <v>0</v>
      </c>
    </row>
    <row r="401" spans="1:5" s="25" customFormat="1" x14ac:dyDescent="0.2">
      <c r="A401" s="122" t="s">
        <v>785</v>
      </c>
      <c r="B401" s="125" t="s">
        <v>868</v>
      </c>
      <c r="C401" s="161">
        <f>SUM(C402:C404)</f>
        <v>-17320165.115817375</v>
      </c>
      <c r="D401" s="161">
        <v>-18042624.030000001</v>
      </c>
      <c r="E401" s="161">
        <f t="shared" si="6"/>
        <v>722458.91418262571</v>
      </c>
    </row>
    <row r="402" spans="1:5" s="25" customFormat="1" ht="25.5" x14ac:dyDescent="0.2">
      <c r="A402" s="136" t="s">
        <v>786</v>
      </c>
      <c r="B402" s="138" t="s">
        <v>787</v>
      </c>
      <c r="C402" s="162">
        <f>Dati!C403</f>
        <v>-17311298.101478022</v>
      </c>
      <c r="D402" s="162">
        <v>-16526388.77</v>
      </c>
      <c r="E402" s="162">
        <f t="shared" si="6"/>
        <v>-784909.33147802204</v>
      </c>
    </row>
    <row r="403" spans="1:5" s="25" customFormat="1" x14ac:dyDescent="0.2">
      <c r="A403" s="136" t="s">
        <v>788</v>
      </c>
      <c r="B403" s="138" t="s">
        <v>789</v>
      </c>
      <c r="C403" s="162">
        <f>Dati!C404</f>
        <v>-8867.0143393550316</v>
      </c>
      <c r="D403" s="162">
        <v>-1516235.26</v>
      </c>
      <c r="E403" s="162">
        <f t="shared" si="6"/>
        <v>1507368.245660645</v>
      </c>
    </row>
    <row r="404" spans="1:5" s="25" customFormat="1" x14ac:dyDescent="0.2">
      <c r="A404" s="136" t="s">
        <v>790</v>
      </c>
      <c r="B404" s="138" t="s">
        <v>791</v>
      </c>
      <c r="C404" s="162">
        <f>Dati!C405</f>
        <v>0</v>
      </c>
      <c r="D404" s="162">
        <v>0</v>
      </c>
      <c r="E404" s="162">
        <f t="shared" si="6"/>
        <v>0</v>
      </c>
    </row>
    <row r="405" spans="1:5" x14ac:dyDescent="0.2">
      <c r="A405" s="122" t="s">
        <v>792</v>
      </c>
      <c r="B405" s="124" t="s">
        <v>869</v>
      </c>
      <c r="C405" s="161">
        <f>SUM(C406:C408)</f>
        <v>-19704226.82</v>
      </c>
      <c r="D405" s="161">
        <v>-17595215.66</v>
      </c>
      <c r="E405" s="161">
        <f t="shared" si="6"/>
        <v>-2109011.16</v>
      </c>
    </row>
    <row r="406" spans="1:5" s="25" customFormat="1" x14ac:dyDescent="0.2">
      <c r="A406" s="120" t="s">
        <v>793</v>
      </c>
      <c r="B406" s="2" t="s">
        <v>794</v>
      </c>
      <c r="C406" s="162">
        <f>Dati!C407</f>
        <v>-17975755.82</v>
      </c>
      <c r="D406" s="162">
        <v>-16025585.369999999</v>
      </c>
      <c r="E406" s="162">
        <f t="shared" si="6"/>
        <v>-1950170.4500000011</v>
      </c>
    </row>
    <row r="407" spans="1:5" s="25" customFormat="1" x14ac:dyDescent="0.2">
      <c r="A407" s="120" t="s">
        <v>795</v>
      </c>
      <c r="B407" s="2" t="s">
        <v>870</v>
      </c>
      <c r="C407" s="162">
        <f>Dati!C408</f>
        <v>0</v>
      </c>
      <c r="D407" s="162">
        <v>0</v>
      </c>
      <c r="E407" s="162">
        <f t="shared" si="6"/>
        <v>0</v>
      </c>
    </row>
    <row r="408" spans="1:5" s="25" customFormat="1" x14ac:dyDescent="0.2">
      <c r="A408" s="122" t="s">
        <v>796</v>
      </c>
      <c r="B408" s="125" t="s">
        <v>871</v>
      </c>
      <c r="C408" s="161">
        <f>SUM(C409:C412)</f>
        <v>-1728471</v>
      </c>
      <c r="D408" s="161">
        <v>-1569630.29</v>
      </c>
      <c r="E408" s="161">
        <f t="shared" si="6"/>
        <v>-158840.70999999996</v>
      </c>
    </row>
    <row r="409" spans="1:5" ht="25.5" x14ac:dyDescent="0.2">
      <c r="A409" s="136" t="s">
        <v>797</v>
      </c>
      <c r="B409" s="138" t="s">
        <v>872</v>
      </c>
      <c r="C409" s="162">
        <f>Dati!C410</f>
        <v>-496904</v>
      </c>
      <c r="D409" s="162">
        <v>-496622.61</v>
      </c>
      <c r="E409" s="162">
        <f t="shared" si="6"/>
        <v>-281.39000000001397</v>
      </c>
    </row>
    <row r="410" spans="1:5" s="25" customFormat="1" x14ac:dyDescent="0.2">
      <c r="A410" s="136" t="s">
        <v>798</v>
      </c>
      <c r="B410" s="138" t="s">
        <v>873</v>
      </c>
      <c r="C410" s="162">
        <f>Dati!C411</f>
        <v>-1231567</v>
      </c>
      <c r="D410" s="162">
        <v>-1073007.68</v>
      </c>
      <c r="E410" s="162">
        <f t="shared" si="6"/>
        <v>-158559.32000000007</v>
      </c>
    </row>
    <row r="411" spans="1:5" s="25" customFormat="1" ht="25.5" x14ac:dyDescent="0.2">
      <c r="A411" s="136" t="s">
        <v>1280</v>
      </c>
      <c r="B411" s="138" t="s">
        <v>1281</v>
      </c>
      <c r="C411" s="162">
        <f>Dati!C412</f>
        <v>0</v>
      </c>
      <c r="D411" s="162">
        <v>0</v>
      </c>
      <c r="E411" s="162">
        <f t="shared" si="6"/>
        <v>0</v>
      </c>
    </row>
    <row r="412" spans="1:5" x14ac:dyDescent="0.2">
      <c r="A412" s="136" t="s">
        <v>1282</v>
      </c>
      <c r="B412" s="138" t="s">
        <v>1283</v>
      </c>
      <c r="C412" s="162">
        <f>Dati!C413</f>
        <v>0</v>
      </c>
      <c r="D412" s="162">
        <v>0</v>
      </c>
      <c r="E412" s="162">
        <f t="shared" si="6"/>
        <v>0</v>
      </c>
    </row>
    <row r="413" spans="1:5" x14ac:dyDescent="0.2">
      <c r="A413" s="122" t="s">
        <v>799</v>
      </c>
      <c r="B413" s="123" t="s">
        <v>800</v>
      </c>
      <c r="C413" s="161">
        <f>SUM(C414:C415)</f>
        <v>-17771776</v>
      </c>
      <c r="D413" s="161">
        <v>-17998070.760000002</v>
      </c>
      <c r="E413" s="161">
        <f t="shared" si="6"/>
        <v>226294.76000000164</v>
      </c>
    </row>
    <row r="414" spans="1:5" s="25" customFormat="1" x14ac:dyDescent="0.2">
      <c r="A414" s="120" t="s">
        <v>801</v>
      </c>
      <c r="B414" s="140" t="s">
        <v>874</v>
      </c>
      <c r="C414" s="162">
        <f>Dati!C415</f>
        <v>-2000000</v>
      </c>
      <c r="D414" s="162">
        <v>-2025292.43</v>
      </c>
      <c r="E414" s="162">
        <f t="shared" si="6"/>
        <v>25292.429999999935</v>
      </c>
    </row>
    <row r="415" spans="1:5" s="25" customFormat="1" x14ac:dyDescent="0.2">
      <c r="A415" s="120" t="s">
        <v>802</v>
      </c>
      <c r="B415" s="140" t="s">
        <v>803</v>
      </c>
      <c r="C415" s="163">
        <f>C416+C419</f>
        <v>-15771776</v>
      </c>
      <c r="D415" s="163">
        <v>-15972778.330000002</v>
      </c>
      <c r="E415" s="163">
        <f t="shared" si="6"/>
        <v>201002.33000000194</v>
      </c>
    </row>
    <row r="416" spans="1:5" x14ac:dyDescent="0.2">
      <c r="A416" s="122" t="s">
        <v>804</v>
      </c>
      <c r="B416" s="124" t="s">
        <v>805</v>
      </c>
      <c r="C416" s="161">
        <f>SUM(C417:C418)</f>
        <v>-9461776</v>
      </c>
      <c r="D416" s="161">
        <v>-9488717.1400000006</v>
      </c>
      <c r="E416" s="161">
        <f t="shared" si="6"/>
        <v>26941.140000000596</v>
      </c>
    </row>
    <row r="417" spans="1:5" x14ac:dyDescent="0.2">
      <c r="A417" s="136" t="s">
        <v>806</v>
      </c>
      <c r="B417" s="137" t="s">
        <v>807</v>
      </c>
      <c r="C417" s="162">
        <f>Dati!C418</f>
        <v>-461776</v>
      </c>
      <c r="D417" s="162">
        <v>-461775.98</v>
      </c>
      <c r="E417" s="162">
        <f t="shared" si="6"/>
        <v>-2.0000000018626451E-2</v>
      </c>
    </row>
    <row r="418" spans="1:5" x14ac:dyDescent="0.2">
      <c r="A418" s="136" t="s">
        <v>808</v>
      </c>
      <c r="B418" s="137" t="s">
        <v>809</v>
      </c>
      <c r="C418" s="162">
        <f>Dati!C419</f>
        <v>-9000000</v>
      </c>
      <c r="D418" s="162">
        <v>-9026941.1600000001</v>
      </c>
      <c r="E418" s="162">
        <f t="shared" si="6"/>
        <v>26941.160000000149</v>
      </c>
    </row>
    <row r="419" spans="1:5" s="25" customFormat="1" x14ac:dyDescent="0.2">
      <c r="A419" s="120" t="s">
        <v>810</v>
      </c>
      <c r="B419" s="140" t="s">
        <v>811</v>
      </c>
      <c r="C419" s="162">
        <f>Dati!C420</f>
        <v>-6310000</v>
      </c>
      <c r="D419" s="162">
        <v>-6484061.1900000004</v>
      </c>
      <c r="E419" s="162">
        <f t="shared" si="6"/>
        <v>174061.19000000041</v>
      </c>
    </row>
    <row r="420" spans="1:5" x14ac:dyDescent="0.2">
      <c r="A420" s="122" t="s">
        <v>812</v>
      </c>
      <c r="B420" s="124" t="s">
        <v>813</v>
      </c>
      <c r="C420" s="161">
        <f>SUM(C421:C422)</f>
        <v>-500000</v>
      </c>
      <c r="D420" s="161">
        <v>-1260000</v>
      </c>
      <c r="E420" s="161">
        <f t="shared" si="6"/>
        <v>760000</v>
      </c>
    </row>
    <row r="421" spans="1:5" s="25" customFormat="1" x14ac:dyDescent="0.2">
      <c r="A421" s="136" t="s">
        <v>814</v>
      </c>
      <c r="B421" s="137" t="s">
        <v>815</v>
      </c>
      <c r="C421" s="162">
        <f>Dati!C422</f>
        <v>0</v>
      </c>
      <c r="D421" s="162">
        <v>0</v>
      </c>
      <c r="E421" s="162">
        <f t="shared" si="6"/>
        <v>0</v>
      </c>
    </row>
    <row r="422" spans="1:5" x14ac:dyDescent="0.2">
      <c r="A422" s="136" t="s">
        <v>816</v>
      </c>
      <c r="B422" s="137" t="s">
        <v>817</v>
      </c>
      <c r="C422" s="162">
        <f>Dati!C423</f>
        <v>-500000</v>
      </c>
      <c r="D422" s="162">
        <v>-1260000</v>
      </c>
      <c r="E422" s="162">
        <f t="shared" si="6"/>
        <v>760000</v>
      </c>
    </row>
    <row r="423" spans="1:5" s="25" customFormat="1" x14ac:dyDescent="0.2">
      <c r="A423" s="122" t="s">
        <v>818</v>
      </c>
      <c r="B423" s="124" t="s">
        <v>819</v>
      </c>
      <c r="C423" s="161">
        <f>+C424+C433</f>
        <v>0</v>
      </c>
      <c r="D423" s="161">
        <v>245861.69999999832</v>
      </c>
      <c r="E423" s="161">
        <f t="shared" si="6"/>
        <v>-245861.69999999832</v>
      </c>
    </row>
    <row r="424" spans="1:5" x14ac:dyDescent="0.2">
      <c r="A424" s="141" t="s">
        <v>820</v>
      </c>
      <c r="B424" s="139" t="s">
        <v>1284</v>
      </c>
      <c r="C424" s="160">
        <f>SUM(C425:C432)</f>
        <v>0</v>
      </c>
      <c r="D424" s="160">
        <v>6004821.7400000002</v>
      </c>
      <c r="E424" s="160">
        <f t="shared" si="6"/>
        <v>-6004821.7400000002</v>
      </c>
    </row>
    <row r="425" spans="1:5" s="25" customFormat="1" x14ac:dyDescent="0.2">
      <c r="A425" s="136" t="s">
        <v>1285</v>
      </c>
      <c r="B425" s="138" t="s">
        <v>1286</v>
      </c>
      <c r="C425" s="162">
        <f>Dati!C426</f>
        <v>0</v>
      </c>
      <c r="D425" s="162">
        <v>2588206.9300000002</v>
      </c>
      <c r="E425" s="162">
        <f t="shared" si="6"/>
        <v>-2588206.9300000002</v>
      </c>
    </row>
    <row r="426" spans="1:5" s="25" customFormat="1" x14ac:dyDescent="0.2">
      <c r="A426" s="136" t="s">
        <v>1287</v>
      </c>
      <c r="B426" s="138" t="s">
        <v>1288</v>
      </c>
      <c r="C426" s="162">
        <f>Dati!C427</f>
        <v>0</v>
      </c>
      <c r="D426" s="162">
        <v>-6544.51</v>
      </c>
      <c r="E426" s="162">
        <f t="shared" si="6"/>
        <v>6544.51</v>
      </c>
    </row>
    <row r="427" spans="1:5" s="25" customFormat="1" x14ac:dyDescent="0.2">
      <c r="A427" s="136" t="s">
        <v>1289</v>
      </c>
      <c r="B427" s="138" t="s">
        <v>1290</v>
      </c>
      <c r="C427" s="162">
        <f>Dati!C428</f>
        <v>0</v>
      </c>
      <c r="D427" s="162">
        <v>-109023.13</v>
      </c>
      <c r="E427" s="162">
        <f t="shared" si="6"/>
        <v>109023.13</v>
      </c>
    </row>
    <row r="428" spans="1:5" s="25" customFormat="1" x14ac:dyDescent="0.2">
      <c r="A428" s="136" t="s">
        <v>1291</v>
      </c>
      <c r="B428" s="138" t="s">
        <v>1292</v>
      </c>
      <c r="C428" s="162">
        <f>Dati!C429</f>
        <v>0</v>
      </c>
      <c r="D428" s="162">
        <v>22774.03</v>
      </c>
      <c r="E428" s="162">
        <f t="shared" si="6"/>
        <v>-22774.03</v>
      </c>
    </row>
    <row r="429" spans="1:5" s="25" customFormat="1" x14ac:dyDescent="0.2">
      <c r="A429" s="136" t="s">
        <v>1293</v>
      </c>
      <c r="B429" s="138" t="s">
        <v>1294</v>
      </c>
      <c r="C429" s="162">
        <f>Dati!C430</f>
        <v>0</v>
      </c>
      <c r="D429" s="162">
        <v>-294318.09000000003</v>
      </c>
      <c r="E429" s="162">
        <f t="shared" si="6"/>
        <v>294318.09000000003</v>
      </c>
    </row>
    <row r="430" spans="1:5" s="25" customFormat="1" x14ac:dyDescent="0.2">
      <c r="A430" s="136" t="s">
        <v>1295</v>
      </c>
      <c r="B430" s="138" t="s">
        <v>1296</v>
      </c>
      <c r="C430" s="162">
        <f>Dati!C431</f>
        <v>0</v>
      </c>
      <c r="D430" s="162">
        <v>2175.67</v>
      </c>
      <c r="E430" s="162">
        <f t="shared" si="6"/>
        <v>-2175.67</v>
      </c>
    </row>
    <row r="431" spans="1:5" s="25" customFormat="1" x14ac:dyDescent="0.2">
      <c r="A431" s="136" t="s">
        <v>1297</v>
      </c>
      <c r="B431" s="138" t="s">
        <v>1298</v>
      </c>
      <c r="C431" s="162">
        <f>Dati!C432</f>
        <v>0</v>
      </c>
      <c r="D431" s="162">
        <v>-16873.29</v>
      </c>
      <c r="E431" s="162">
        <f t="shared" si="6"/>
        <v>16873.29</v>
      </c>
    </row>
    <row r="432" spans="1:5" x14ac:dyDescent="0.2">
      <c r="A432" s="136" t="s">
        <v>1299</v>
      </c>
      <c r="B432" s="138" t="s">
        <v>1300</v>
      </c>
      <c r="C432" s="162">
        <f>Dati!C433</f>
        <v>0</v>
      </c>
      <c r="D432" s="162">
        <v>3818424.13</v>
      </c>
      <c r="E432" s="162">
        <f t="shared" si="6"/>
        <v>-3818424.13</v>
      </c>
    </row>
    <row r="433" spans="1:5" s="25" customFormat="1" x14ac:dyDescent="0.2">
      <c r="A433" s="141" t="s">
        <v>821</v>
      </c>
      <c r="B433" s="139" t="s">
        <v>1301</v>
      </c>
      <c r="C433" s="160">
        <f>SUM(C434:C439)</f>
        <v>0</v>
      </c>
      <c r="D433" s="160">
        <v>-5758960.0400000019</v>
      </c>
      <c r="E433" s="160">
        <f t="shared" si="6"/>
        <v>5758960.0400000019</v>
      </c>
    </row>
    <row r="434" spans="1:5" x14ac:dyDescent="0.2">
      <c r="A434" s="136" t="s">
        <v>1302</v>
      </c>
      <c r="B434" s="138" t="s">
        <v>1303</v>
      </c>
      <c r="C434" s="162">
        <f>Dati!C435</f>
        <v>0</v>
      </c>
      <c r="D434" s="162">
        <v>-735.32</v>
      </c>
      <c r="E434" s="162">
        <f t="shared" si="6"/>
        <v>735.32</v>
      </c>
    </row>
    <row r="435" spans="1:5" s="25" customFormat="1" x14ac:dyDescent="0.2">
      <c r="A435" s="136" t="s">
        <v>1304</v>
      </c>
      <c r="B435" s="138" t="s">
        <v>1305</v>
      </c>
      <c r="C435" s="162">
        <f>Dati!C436</f>
        <v>0</v>
      </c>
      <c r="D435" s="162">
        <v>-5807407.9800000004</v>
      </c>
      <c r="E435" s="162">
        <f t="shared" si="6"/>
        <v>5807407.9800000004</v>
      </c>
    </row>
    <row r="436" spans="1:5" s="25" customFormat="1" x14ac:dyDescent="0.2">
      <c r="A436" s="136" t="s">
        <v>1306</v>
      </c>
      <c r="B436" s="138" t="s">
        <v>1307</v>
      </c>
      <c r="C436" s="162">
        <f>Dati!C437</f>
        <v>0</v>
      </c>
      <c r="D436" s="162">
        <v>-3423.32</v>
      </c>
      <c r="E436" s="162">
        <f t="shared" si="6"/>
        <v>3423.32</v>
      </c>
    </row>
    <row r="437" spans="1:5" s="25" customFormat="1" x14ac:dyDescent="0.2">
      <c r="A437" s="136" t="s">
        <v>1308</v>
      </c>
      <c r="B437" s="138" t="s">
        <v>1309</v>
      </c>
      <c r="C437" s="162">
        <f>Dati!C438</f>
        <v>0</v>
      </c>
      <c r="D437" s="162">
        <v>75324.429999999993</v>
      </c>
      <c r="E437" s="162">
        <f t="shared" si="6"/>
        <v>-75324.429999999993</v>
      </c>
    </row>
    <row r="438" spans="1:5" s="25" customFormat="1" x14ac:dyDescent="0.2">
      <c r="A438" s="136" t="s">
        <v>1310</v>
      </c>
      <c r="B438" s="138" t="s">
        <v>1311</v>
      </c>
      <c r="C438" s="162">
        <f>Dati!C439</f>
        <v>0</v>
      </c>
      <c r="D438" s="162">
        <v>304.76</v>
      </c>
      <c r="E438" s="162">
        <f t="shared" si="6"/>
        <v>-304.76</v>
      </c>
    </row>
    <row r="439" spans="1:5" s="25" customFormat="1" x14ac:dyDescent="0.2">
      <c r="A439" s="136" t="s">
        <v>1312</v>
      </c>
      <c r="B439" s="138" t="s">
        <v>1313</v>
      </c>
      <c r="C439" s="162">
        <f>Dati!C440</f>
        <v>0</v>
      </c>
      <c r="D439" s="162">
        <v>-23022.61</v>
      </c>
      <c r="E439" s="162">
        <f t="shared" si="6"/>
        <v>23022.61</v>
      </c>
    </row>
    <row r="440" spans="1:5" s="25" customFormat="1" x14ac:dyDescent="0.2">
      <c r="A440" s="122" t="s">
        <v>829</v>
      </c>
      <c r="B440" s="124" t="s">
        <v>830</v>
      </c>
      <c r="C440" s="161">
        <f>C441+C449+C450+C457</f>
        <v>-15247003.909999996</v>
      </c>
      <c r="D440" s="161">
        <v>-15461390.960000001</v>
      </c>
      <c r="E440" s="161">
        <f t="shared" si="6"/>
        <v>214387.05000000447</v>
      </c>
    </row>
    <row r="441" spans="1:5" s="25" customFormat="1" x14ac:dyDescent="0.2">
      <c r="A441" s="122" t="s">
        <v>831</v>
      </c>
      <c r="B441" s="125" t="s">
        <v>832</v>
      </c>
      <c r="C441" s="161">
        <f>SUM(C442:C448)</f>
        <v>-1437877</v>
      </c>
      <c r="D441" s="161">
        <v>-2580946.88</v>
      </c>
      <c r="E441" s="161">
        <f t="shared" si="6"/>
        <v>1143069.8799999999</v>
      </c>
    </row>
    <row r="442" spans="1:5" s="25" customFormat="1" x14ac:dyDescent="0.2">
      <c r="A442" s="136" t="s">
        <v>833</v>
      </c>
      <c r="B442" s="138" t="s">
        <v>1314</v>
      </c>
      <c r="C442" s="162">
        <f>Dati!C443</f>
        <v>-350000</v>
      </c>
      <c r="D442" s="162">
        <v>-704000</v>
      </c>
      <c r="E442" s="162">
        <f t="shared" si="6"/>
        <v>354000</v>
      </c>
    </row>
    <row r="443" spans="1:5" x14ac:dyDescent="0.2">
      <c r="A443" s="136" t="s">
        <v>834</v>
      </c>
      <c r="B443" s="138" t="s">
        <v>1315</v>
      </c>
      <c r="C443" s="162">
        <f>Dati!C444</f>
        <v>-250000</v>
      </c>
      <c r="D443" s="162">
        <v>-25000</v>
      </c>
      <c r="E443" s="162">
        <f t="shared" si="6"/>
        <v>-225000</v>
      </c>
    </row>
    <row r="444" spans="1:5" s="25" customFormat="1" ht="25.5" x14ac:dyDescent="0.2">
      <c r="A444" s="136" t="s">
        <v>835</v>
      </c>
      <c r="B444" s="138" t="s">
        <v>1316</v>
      </c>
      <c r="C444" s="162">
        <f>Dati!C445</f>
        <v>0</v>
      </c>
      <c r="D444" s="162">
        <v>0</v>
      </c>
      <c r="E444" s="162">
        <f t="shared" si="6"/>
        <v>0</v>
      </c>
    </row>
    <row r="445" spans="1:5" x14ac:dyDescent="0.2">
      <c r="A445" s="136" t="s">
        <v>836</v>
      </c>
      <c r="B445" s="138" t="s">
        <v>1317</v>
      </c>
      <c r="C445" s="162">
        <f>Dati!C446</f>
        <v>-737877</v>
      </c>
      <c r="D445" s="162">
        <v>-1751946.88</v>
      </c>
      <c r="E445" s="162">
        <f t="shared" si="6"/>
        <v>1014069.8799999999</v>
      </c>
    </row>
    <row r="446" spans="1:5" s="25" customFormat="1" x14ac:dyDescent="0.2">
      <c r="A446" s="136" t="s">
        <v>1318</v>
      </c>
      <c r="B446" s="138" t="s">
        <v>1319</v>
      </c>
      <c r="C446" s="162">
        <f>Dati!C447</f>
        <v>0</v>
      </c>
      <c r="D446" s="162">
        <v>0</v>
      </c>
      <c r="E446" s="162">
        <f t="shared" si="6"/>
        <v>0</v>
      </c>
    </row>
    <row r="447" spans="1:5" s="25" customFormat="1" x14ac:dyDescent="0.2">
      <c r="A447" s="136" t="s">
        <v>1070</v>
      </c>
      <c r="B447" s="138" t="s">
        <v>1320</v>
      </c>
      <c r="C447" s="162">
        <f>Dati!C448</f>
        <v>0</v>
      </c>
      <c r="D447" s="162">
        <v>0</v>
      </c>
      <c r="E447" s="162">
        <f t="shared" si="6"/>
        <v>0</v>
      </c>
    </row>
    <row r="448" spans="1:5" x14ac:dyDescent="0.2">
      <c r="A448" s="136" t="s">
        <v>1321</v>
      </c>
      <c r="B448" s="138" t="s">
        <v>1322</v>
      </c>
      <c r="C448" s="162">
        <f>Dati!C449</f>
        <v>-100000</v>
      </c>
      <c r="D448" s="162">
        <v>-100000</v>
      </c>
      <c r="E448" s="162">
        <f t="shared" si="6"/>
        <v>0</v>
      </c>
    </row>
    <row r="449" spans="1:5" x14ac:dyDescent="0.2">
      <c r="A449" s="120" t="s">
        <v>1071</v>
      </c>
      <c r="B449" s="2" t="s">
        <v>1072</v>
      </c>
      <c r="C449" s="162">
        <f>Dati!C450</f>
        <v>-998963</v>
      </c>
      <c r="D449" s="162">
        <v>-872518.83</v>
      </c>
      <c r="E449" s="162">
        <f t="shared" si="6"/>
        <v>-126444.17000000004</v>
      </c>
    </row>
    <row r="450" spans="1:5" s="25" customFormat="1" x14ac:dyDescent="0.2">
      <c r="A450" s="122" t="s">
        <v>1073</v>
      </c>
      <c r="B450" s="125" t="s">
        <v>1074</v>
      </c>
      <c r="C450" s="161">
        <f>SUM(C451:C456)</f>
        <v>-2743850</v>
      </c>
      <c r="D450" s="161">
        <v>-5484615.0800000001</v>
      </c>
      <c r="E450" s="161">
        <f t="shared" si="6"/>
        <v>2740765.08</v>
      </c>
    </row>
    <row r="451" spans="1:5" s="25" customFormat="1" ht="25.5" x14ac:dyDescent="0.2">
      <c r="A451" s="136" t="s">
        <v>1323</v>
      </c>
      <c r="B451" s="138" t="s">
        <v>1324</v>
      </c>
      <c r="C451" s="162">
        <f>Dati!C452</f>
        <v>-962969</v>
      </c>
      <c r="D451" s="162">
        <v>-3383856.76</v>
      </c>
      <c r="E451" s="162">
        <f t="shared" ref="E451:E514" si="7">C451-D451</f>
        <v>2420887.7599999998</v>
      </c>
    </row>
    <row r="452" spans="1:5" ht="25.5" x14ac:dyDescent="0.2">
      <c r="A452" s="136" t="s">
        <v>1075</v>
      </c>
      <c r="B452" s="138" t="s">
        <v>1325</v>
      </c>
      <c r="C452" s="162">
        <f>Dati!C453</f>
        <v>-101198</v>
      </c>
      <c r="D452" s="162">
        <v>-637952</v>
      </c>
      <c r="E452" s="162">
        <f t="shared" si="7"/>
        <v>536754</v>
      </c>
    </row>
    <row r="453" spans="1:5" s="25" customFormat="1" ht="25.5" x14ac:dyDescent="0.2">
      <c r="A453" s="136" t="s">
        <v>1076</v>
      </c>
      <c r="B453" s="138" t="s">
        <v>1326</v>
      </c>
      <c r="C453" s="162">
        <f>Dati!C454</f>
        <v>-1513615</v>
      </c>
      <c r="D453" s="162">
        <v>-1462806.32</v>
      </c>
      <c r="E453" s="162">
        <f t="shared" si="7"/>
        <v>-50808.679999999935</v>
      </c>
    </row>
    <row r="454" spans="1:5" s="25" customFormat="1" ht="25.5" x14ac:dyDescent="0.2">
      <c r="A454" s="136" t="s">
        <v>1077</v>
      </c>
      <c r="B454" s="138" t="s">
        <v>1327</v>
      </c>
      <c r="C454" s="162">
        <f>Dati!C455</f>
        <v>-166068</v>
      </c>
      <c r="D454" s="162">
        <v>0</v>
      </c>
      <c r="E454" s="162">
        <f t="shared" si="7"/>
        <v>-166068</v>
      </c>
    </row>
    <row r="455" spans="1:5" s="25" customFormat="1" x14ac:dyDescent="0.2">
      <c r="A455" s="136" t="s">
        <v>1078</v>
      </c>
      <c r="B455" s="138" t="s">
        <v>1328</v>
      </c>
      <c r="C455" s="162">
        <f>Dati!C456</f>
        <v>0</v>
      </c>
      <c r="D455" s="162">
        <v>0</v>
      </c>
      <c r="E455" s="162">
        <f t="shared" si="7"/>
        <v>0</v>
      </c>
    </row>
    <row r="456" spans="1:5" s="25" customFormat="1" ht="25.5" x14ac:dyDescent="0.2">
      <c r="A456" s="136" t="s">
        <v>1329</v>
      </c>
      <c r="B456" s="138" t="s">
        <v>1330</v>
      </c>
      <c r="C456" s="162">
        <f>Dati!C457</f>
        <v>0</v>
      </c>
      <c r="D456" s="162">
        <v>0</v>
      </c>
      <c r="E456" s="162">
        <f t="shared" si="7"/>
        <v>0</v>
      </c>
    </row>
    <row r="457" spans="1:5" s="25" customFormat="1" x14ac:dyDescent="0.2">
      <c r="A457" s="122" t="s">
        <v>1079</v>
      </c>
      <c r="B457" s="125" t="s">
        <v>1080</v>
      </c>
      <c r="C457" s="161">
        <f>SUM(C458:C467)</f>
        <v>-10066313.909999996</v>
      </c>
      <c r="D457" s="161">
        <v>-6523310.1700000009</v>
      </c>
      <c r="E457" s="161">
        <f t="shared" si="7"/>
        <v>-3543003.7399999956</v>
      </c>
    </row>
    <row r="458" spans="1:5" s="25" customFormat="1" x14ac:dyDescent="0.2">
      <c r="A458" s="136" t="s">
        <v>1081</v>
      </c>
      <c r="B458" s="138" t="s">
        <v>1331</v>
      </c>
      <c r="C458" s="162">
        <f>Dati!C459</f>
        <v>-1807731</v>
      </c>
      <c r="D458" s="162">
        <v>-1362807</v>
      </c>
      <c r="E458" s="162">
        <f t="shared" si="7"/>
        <v>-444924</v>
      </c>
    </row>
    <row r="459" spans="1:5" s="25" customFormat="1" x14ac:dyDescent="0.2">
      <c r="A459" s="136" t="s">
        <v>1082</v>
      </c>
      <c r="B459" s="138" t="s">
        <v>1332</v>
      </c>
      <c r="C459" s="162">
        <f>Dati!C460</f>
        <v>-289704</v>
      </c>
      <c r="D459" s="162">
        <v>-215751</v>
      </c>
      <c r="E459" s="162">
        <f t="shared" si="7"/>
        <v>-73953</v>
      </c>
    </row>
    <row r="460" spans="1:5" s="25" customFormat="1" x14ac:dyDescent="0.2">
      <c r="A460" s="136" t="s">
        <v>1083</v>
      </c>
      <c r="B460" s="138" t="s">
        <v>1333</v>
      </c>
      <c r="C460" s="162">
        <f>Dati!C461</f>
        <v>-2040276.0428121816</v>
      </c>
      <c r="D460" s="162">
        <v>-1502664.78</v>
      </c>
      <c r="E460" s="162">
        <f t="shared" si="7"/>
        <v>-537611.26281218161</v>
      </c>
    </row>
    <row r="461" spans="1:5" s="25" customFormat="1" x14ac:dyDescent="0.2">
      <c r="A461" s="136" t="s">
        <v>1084</v>
      </c>
      <c r="B461" s="138" t="s">
        <v>1334</v>
      </c>
      <c r="C461" s="162">
        <f>Dati!C462</f>
        <v>-381234.37583291379</v>
      </c>
      <c r="D461" s="162">
        <v>-248916.52</v>
      </c>
      <c r="E461" s="162">
        <f t="shared" si="7"/>
        <v>-132317.8558329138</v>
      </c>
    </row>
    <row r="462" spans="1:5" s="25" customFormat="1" x14ac:dyDescent="0.2">
      <c r="A462" s="136" t="s">
        <v>1085</v>
      </c>
      <c r="B462" s="138" t="s">
        <v>1335</v>
      </c>
      <c r="C462" s="162">
        <f>Dati!C463</f>
        <v>-3442848.4913549018</v>
      </c>
      <c r="D462" s="162">
        <v>-807423.16</v>
      </c>
      <c r="E462" s="162">
        <f t="shared" si="7"/>
        <v>-2635425.3313549017</v>
      </c>
    </row>
    <row r="463" spans="1:5" x14ac:dyDescent="0.2">
      <c r="A463" s="136" t="s">
        <v>1336</v>
      </c>
      <c r="B463" s="138" t="s">
        <v>1337</v>
      </c>
      <c r="C463" s="162">
        <f>Dati!C464</f>
        <v>0</v>
      </c>
      <c r="D463" s="162">
        <v>0</v>
      </c>
      <c r="E463" s="162">
        <f t="shared" si="7"/>
        <v>0</v>
      </c>
    </row>
    <row r="464" spans="1:5" s="25" customFormat="1" x14ac:dyDescent="0.2">
      <c r="A464" s="136" t="s">
        <v>1338</v>
      </c>
      <c r="B464" s="138" t="s">
        <v>1339</v>
      </c>
      <c r="C464" s="162">
        <f>Dati!C465</f>
        <v>0</v>
      </c>
      <c r="D464" s="162">
        <v>0</v>
      </c>
      <c r="E464" s="162">
        <f t="shared" si="7"/>
        <v>0</v>
      </c>
    </row>
    <row r="465" spans="1:5" x14ac:dyDescent="0.2">
      <c r="A465" s="136" t="s">
        <v>1340</v>
      </c>
      <c r="B465" s="138" t="s">
        <v>1341</v>
      </c>
      <c r="C465" s="162">
        <f>Dati!C466</f>
        <v>0</v>
      </c>
      <c r="D465" s="162">
        <v>0</v>
      </c>
      <c r="E465" s="162">
        <f t="shared" si="7"/>
        <v>0</v>
      </c>
    </row>
    <row r="466" spans="1:5" s="25" customFormat="1" x14ac:dyDescent="0.2">
      <c r="A466" s="136" t="s">
        <v>1342</v>
      </c>
      <c r="B466" s="138" t="s">
        <v>1343</v>
      </c>
      <c r="C466" s="162">
        <f>Dati!C467</f>
        <v>-200000</v>
      </c>
      <c r="D466" s="162">
        <v>-270415.13</v>
      </c>
      <c r="E466" s="162">
        <f t="shared" si="7"/>
        <v>70415.13</v>
      </c>
    </row>
    <row r="467" spans="1:5" s="25" customFormat="1" x14ac:dyDescent="0.2">
      <c r="A467" s="136" t="s">
        <v>1086</v>
      </c>
      <c r="B467" s="138" t="s">
        <v>1344</v>
      </c>
      <c r="C467" s="162">
        <f>Dati!C468</f>
        <v>-1904520</v>
      </c>
      <c r="D467" s="162">
        <v>-2115332.58</v>
      </c>
      <c r="E467" s="162">
        <f t="shared" si="7"/>
        <v>210812.58000000007</v>
      </c>
    </row>
    <row r="468" spans="1:5" s="25" customFormat="1" x14ac:dyDescent="0.2">
      <c r="A468" s="127" t="s">
        <v>1087</v>
      </c>
      <c r="B468" s="128" t="s">
        <v>875</v>
      </c>
      <c r="C468" s="164">
        <f>C137+C176+C345+C353+C363+C405+C413+C420+C423+C440</f>
        <v>-1411871735.3209572</v>
      </c>
      <c r="D468" s="164">
        <v>-1391295904.4100001</v>
      </c>
      <c r="E468" s="164">
        <f t="shared" si="7"/>
        <v>-20575830.910957098</v>
      </c>
    </row>
    <row r="469" spans="1:5" s="25" customFormat="1" x14ac:dyDescent="0.2">
      <c r="A469" s="122" t="s">
        <v>825</v>
      </c>
      <c r="B469" s="123" t="s">
        <v>876</v>
      </c>
      <c r="C469" s="166"/>
      <c r="D469" s="166"/>
      <c r="E469" s="166">
        <f t="shared" si="7"/>
        <v>0</v>
      </c>
    </row>
    <row r="470" spans="1:5" s="25" customFormat="1" x14ac:dyDescent="0.2">
      <c r="A470" s="122" t="s">
        <v>1088</v>
      </c>
      <c r="B470" s="125" t="s">
        <v>877</v>
      </c>
      <c r="C470" s="161">
        <f>SUM(C471:C473)</f>
        <v>0</v>
      </c>
      <c r="D470" s="161">
        <v>1005.02</v>
      </c>
      <c r="E470" s="161">
        <f t="shared" si="7"/>
        <v>-1005.02</v>
      </c>
    </row>
    <row r="471" spans="1:5" s="25" customFormat="1" x14ac:dyDescent="0.2">
      <c r="A471" s="120" t="s">
        <v>1089</v>
      </c>
      <c r="B471" s="138" t="s">
        <v>1090</v>
      </c>
      <c r="C471" s="162">
        <f>Dati!C472</f>
        <v>0</v>
      </c>
      <c r="D471" s="162">
        <v>0</v>
      </c>
      <c r="E471" s="162">
        <f t="shared" si="7"/>
        <v>0</v>
      </c>
    </row>
    <row r="472" spans="1:5" s="25" customFormat="1" x14ac:dyDescent="0.2">
      <c r="A472" s="120" t="s">
        <v>1091</v>
      </c>
      <c r="B472" s="138" t="s">
        <v>878</v>
      </c>
      <c r="C472" s="162">
        <f>Dati!C473</f>
        <v>0</v>
      </c>
      <c r="D472" s="162">
        <v>17.809999999999999</v>
      </c>
      <c r="E472" s="162">
        <f t="shared" si="7"/>
        <v>-17.809999999999999</v>
      </c>
    </row>
    <row r="473" spans="1:5" s="25" customFormat="1" x14ac:dyDescent="0.2">
      <c r="A473" s="120" t="s">
        <v>1092</v>
      </c>
      <c r="B473" s="138" t="s">
        <v>879</v>
      </c>
      <c r="C473" s="162">
        <f>Dati!C474</f>
        <v>0</v>
      </c>
      <c r="D473" s="162">
        <v>987.21</v>
      </c>
      <c r="E473" s="162">
        <f t="shared" si="7"/>
        <v>-987.21</v>
      </c>
    </row>
    <row r="474" spans="1:5" s="25" customFormat="1" x14ac:dyDescent="0.2">
      <c r="A474" s="122" t="s">
        <v>1093</v>
      </c>
      <c r="B474" s="125" t="s">
        <v>880</v>
      </c>
      <c r="C474" s="161">
        <f>SUM(C475:C479)</f>
        <v>0</v>
      </c>
      <c r="D474" s="161">
        <v>0</v>
      </c>
      <c r="E474" s="161">
        <f t="shared" si="7"/>
        <v>0</v>
      </c>
    </row>
    <row r="475" spans="1:5" x14ac:dyDescent="0.2">
      <c r="A475" s="120" t="s">
        <v>1094</v>
      </c>
      <c r="B475" s="138" t="s">
        <v>881</v>
      </c>
      <c r="C475" s="162">
        <f>Dati!C476</f>
        <v>0</v>
      </c>
      <c r="D475" s="162">
        <v>0</v>
      </c>
      <c r="E475" s="162">
        <f t="shared" si="7"/>
        <v>0</v>
      </c>
    </row>
    <row r="476" spans="1:5" x14ac:dyDescent="0.2">
      <c r="A476" s="120" t="s">
        <v>1095</v>
      </c>
      <c r="B476" s="138" t="s">
        <v>882</v>
      </c>
      <c r="C476" s="162">
        <f>Dati!C477</f>
        <v>0</v>
      </c>
      <c r="D476" s="162">
        <v>0</v>
      </c>
      <c r="E476" s="162">
        <f t="shared" si="7"/>
        <v>0</v>
      </c>
    </row>
    <row r="477" spans="1:5" x14ac:dyDescent="0.2">
      <c r="A477" s="120" t="s">
        <v>1096</v>
      </c>
      <c r="B477" s="138" t="s">
        <v>883</v>
      </c>
      <c r="C477" s="162">
        <f>Dati!C478</f>
        <v>0</v>
      </c>
      <c r="D477" s="162">
        <v>0</v>
      </c>
      <c r="E477" s="162">
        <f t="shared" si="7"/>
        <v>0</v>
      </c>
    </row>
    <row r="478" spans="1:5" s="25" customFormat="1" x14ac:dyDescent="0.2">
      <c r="A478" s="120" t="s">
        <v>1097</v>
      </c>
      <c r="B478" s="138" t="s">
        <v>884</v>
      </c>
      <c r="C478" s="162">
        <f>Dati!C479</f>
        <v>0</v>
      </c>
      <c r="D478" s="162">
        <v>0</v>
      </c>
      <c r="E478" s="162">
        <f t="shared" si="7"/>
        <v>0</v>
      </c>
    </row>
    <row r="479" spans="1:5" s="25" customFormat="1" x14ac:dyDescent="0.2">
      <c r="A479" s="120" t="s">
        <v>1098</v>
      </c>
      <c r="B479" s="138" t="s">
        <v>885</v>
      </c>
      <c r="C479" s="162">
        <f>Dati!C480</f>
        <v>0</v>
      </c>
      <c r="D479" s="162">
        <v>0</v>
      </c>
      <c r="E479" s="162">
        <f t="shared" si="7"/>
        <v>0</v>
      </c>
    </row>
    <row r="480" spans="1:5" s="25" customFormat="1" x14ac:dyDescent="0.2">
      <c r="A480" s="122" t="s">
        <v>1099</v>
      </c>
      <c r="B480" s="125" t="s">
        <v>886</v>
      </c>
      <c r="C480" s="161">
        <f>SUM(C481:C483)</f>
        <v>-1345600</v>
      </c>
      <c r="D480" s="161">
        <v>-1351576.97</v>
      </c>
      <c r="E480" s="161">
        <f t="shared" si="7"/>
        <v>5976.9699999999721</v>
      </c>
    </row>
    <row r="481" spans="1:5" s="25" customFormat="1" x14ac:dyDescent="0.2">
      <c r="A481" s="120" t="s">
        <v>1100</v>
      </c>
      <c r="B481" s="138" t="s">
        <v>1101</v>
      </c>
      <c r="C481" s="162">
        <f>Dati!C482</f>
        <v>-80000</v>
      </c>
      <c r="D481" s="162">
        <v>-67487.740000000005</v>
      </c>
      <c r="E481" s="162">
        <f t="shared" si="7"/>
        <v>-12512.259999999995</v>
      </c>
    </row>
    <row r="482" spans="1:5" x14ac:dyDescent="0.2">
      <c r="A482" s="120" t="s">
        <v>1102</v>
      </c>
      <c r="B482" s="138" t="s">
        <v>887</v>
      </c>
      <c r="C482" s="162">
        <f>Dati!C483</f>
        <v>-1265600</v>
      </c>
      <c r="D482" s="162">
        <v>-1283682.31</v>
      </c>
      <c r="E482" s="162">
        <f t="shared" si="7"/>
        <v>18082.310000000056</v>
      </c>
    </row>
    <row r="483" spans="1:5" x14ac:dyDescent="0.2">
      <c r="A483" s="120" t="s">
        <v>1103</v>
      </c>
      <c r="B483" s="138" t="s">
        <v>888</v>
      </c>
      <c r="C483" s="162">
        <f>Dati!C484</f>
        <v>0</v>
      </c>
      <c r="D483" s="162">
        <v>-406.92</v>
      </c>
      <c r="E483" s="162">
        <f t="shared" si="7"/>
        <v>406.92</v>
      </c>
    </row>
    <row r="484" spans="1:5" s="25" customFormat="1" x14ac:dyDescent="0.2">
      <c r="A484" s="122" t="s">
        <v>1104</v>
      </c>
      <c r="B484" s="125" t="s">
        <v>1105</v>
      </c>
      <c r="C484" s="161">
        <f>SUM(C485:C486)</f>
        <v>-70000</v>
      </c>
      <c r="D484" s="161">
        <v>-93379.839999999997</v>
      </c>
      <c r="E484" s="161">
        <f t="shared" si="7"/>
        <v>23379.839999999997</v>
      </c>
    </row>
    <row r="485" spans="1:5" x14ac:dyDescent="0.2">
      <c r="A485" s="120" t="s">
        <v>1106</v>
      </c>
      <c r="B485" s="138" t="s">
        <v>889</v>
      </c>
      <c r="C485" s="162">
        <f>Dati!C486</f>
        <v>-70000</v>
      </c>
      <c r="D485" s="162">
        <v>-93379.839999999997</v>
      </c>
      <c r="E485" s="162">
        <f t="shared" si="7"/>
        <v>23379.839999999997</v>
      </c>
    </row>
    <row r="486" spans="1:5" x14ac:dyDescent="0.2">
      <c r="A486" s="120" t="s">
        <v>1107</v>
      </c>
      <c r="B486" s="138" t="s">
        <v>890</v>
      </c>
      <c r="C486" s="162">
        <f>Dati!C487</f>
        <v>0</v>
      </c>
      <c r="D486" s="162">
        <v>0</v>
      </c>
      <c r="E486" s="162">
        <f t="shared" si="7"/>
        <v>0</v>
      </c>
    </row>
    <row r="487" spans="1:5" x14ac:dyDescent="0.2">
      <c r="A487" s="127" t="s">
        <v>1108</v>
      </c>
      <c r="B487" s="128" t="s">
        <v>891</v>
      </c>
      <c r="C487" s="164">
        <f>C470+C474+C480+C484</f>
        <v>-1415600</v>
      </c>
      <c r="D487" s="164">
        <v>-1443951.79</v>
      </c>
      <c r="E487" s="164">
        <f t="shared" si="7"/>
        <v>28351.790000000037</v>
      </c>
    </row>
    <row r="488" spans="1:5" x14ac:dyDescent="0.2">
      <c r="A488" s="122" t="s">
        <v>826</v>
      </c>
      <c r="B488" s="123" t="s">
        <v>892</v>
      </c>
      <c r="C488" s="160">
        <f>Dati!C489</f>
        <v>0</v>
      </c>
      <c r="D488" s="160">
        <v>0</v>
      </c>
      <c r="E488" s="160">
        <f t="shared" si="7"/>
        <v>0</v>
      </c>
    </row>
    <row r="489" spans="1:5" x14ac:dyDescent="0.2">
      <c r="A489" s="120" t="s">
        <v>1109</v>
      </c>
      <c r="B489" s="2" t="s">
        <v>893</v>
      </c>
      <c r="C489" s="162">
        <f>Dati!C490</f>
        <v>0</v>
      </c>
      <c r="D489" s="162">
        <v>0</v>
      </c>
      <c r="E489" s="162">
        <f t="shared" si="7"/>
        <v>0</v>
      </c>
    </row>
    <row r="490" spans="1:5" x14ac:dyDescent="0.2">
      <c r="A490" s="120" t="s">
        <v>1110</v>
      </c>
      <c r="B490" s="2" t="s">
        <v>894</v>
      </c>
      <c r="C490" s="162">
        <f>Dati!C491</f>
        <v>0</v>
      </c>
      <c r="D490" s="162">
        <v>-4410.3599999999997</v>
      </c>
      <c r="E490" s="162">
        <f t="shared" si="7"/>
        <v>4410.3599999999997</v>
      </c>
    </row>
    <row r="491" spans="1:5" x14ac:dyDescent="0.2">
      <c r="A491" s="127" t="s">
        <v>1111</v>
      </c>
      <c r="B491" s="128" t="s">
        <v>895</v>
      </c>
      <c r="C491" s="164">
        <f>+C489+C490</f>
        <v>0</v>
      </c>
      <c r="D491" s="164">
        <v>-4410.3599999999997</v>
      </c>
      <c r="E491" s="164">
        <f t="shared" si="7"/>
        <v>4410.3599999999997</v>
      </c>
    </row>
    <row r="492" spans="1:5" x14ac:dyDescent="0.2">
      <c r="A492" s="122" t="s">
        <v>827</v>
      </c>
      <c r="B492" s="123" t="s">
        <v>896</v>
      </c>
      <c r="C492" s="160"/>
      <c r="D492" s="160"/>
      <c r="E492" s="160">
        <f t="shared" si="7"/>
        <v>0</v>
      </c>
    </row>
    <row r="493" spans="1:5" x14ac:dyDescent="0.2">
      <c r="A493" s="122" t="s">
        <v>1112</v>
      </c>
      <c r="B493" s="125" t="s">
        <v>897</v>
      </c>
      <c r="C493" s="161">
        <f>C494+C495</f>
        <v>2144942.0800000001</v>
      </c>
      <c r="D493" s="161">
        <v>41841637.979999997</v>
      </c>
      <c r="E493" s="161">
        <f t="shared" si="7"/>
        <v>-39696695.899999999</v>
      </c>
    </row>
    <row r="494" spans="1:5" x14ac:dyDescent="0.2">
      <c r="A494" s="136" t="s">
        <v>1113</v>
      </c>
      <c r="B494" s="138" t="s">
        <v>898</v>
      </c>
      <c r="C494" s="162">
        <f>Dati!C495</f>
        <v>0</v>
      </c>
      <c r="D494" s="162">
        <v>2010</v>
      </c>
      <c r="E494" s="162">
        <f t="shared" si="7"/>
        <v>-2010</v>
      </c>
    </row>
    <row r="495" spans="1:5" x14ac:dyDescent="0.2">
      <c r="A495" s="141" t="s">
        <v>1114</v>
      </c>
      <c r="B495" s="152" t="s">
        <v>899</v>
      </c>
      <c r="C495" s="160">
        <f>C496+C497+C508+C518</f>
        <v>2144942.0800000001</v>
      </c>
      <c r="D495" s="160">
        <v>41839627.979999997</v>
      </c>
      <c r="E495" s="160">
        <f t="shared" si="7"/>
        <v>-39694685.899999999</v>
      </c>
    </row>
    <row r="496" spans="1:5" x14ac:dyDescent="0.2">
      <c r="A496" s="136" t="s">
        <v>1115</v>
      </c>
      <c r="B496" s="145" t="s">
        <v>900</v>
      </c>
      <c r="C496" s="162">
        <f>Dati!C497</f>
        <v>90000</v>
      </c>
      <c r="D496" s="162">
        <v>613374.04</v>
      </c>
      <c r="E496" s="162">
        <f t="shared" si="7"/>
        <v>-523374.04000000004</v>
      </c>
    </row>
    <row r="497" spans="1:5" s="144" customFormat="1" x14ac:dyDescent="0.2">
      <c r="A497" s="141" t="s">
        <v>1116</v>
      </c>
      <c r="B497" s="154" t="s">
        <v>901</v>
      </c>
      <c r="C497" s="160">
        <f>+C499+C500</f>
        <v>311179.56</v>
      </c>
      <c r="D497" s="160">
        <v>26387788.75</v>
      </c>
      <c r="E497" s="160">
        <f t="shared" si="7"/>
        <v>-26076609.190000001</v>
      </c>
    </row>
    <row r="498" spans="1:5" s="144" customFormat="1" x14ac:dyDescent="0.2">
      <c r="A498" s="136" t="s">
        <v>1345</v>
      </c>
      <c r="B498" s="143" t="s">
        <v>1346</v>
      </c>
      <c r="C498" s="162"/>
      <c r="D498" s="162"/>
      <c r="E498" s="162">
        <f t="shared" si="7"/>
        <v>0</v>
      </c>
    </row>
    <row r="499" spans="1:5" x14ac:dyDescent="0.2">
      <c r="A499" s="136" t="s">
        <v>1117</v>
      </c>
      <c r="B499" s="143" t="s">
        <v>1347</v>
      </c>
      <c r="C499" s="162">
        <f>Dati!C500</f>
        <v>11179.56</v>
      </c>
      <c r="D499" s="162">
        <v>14174.86</v>
      </c>
      <c r="E499" s="162">
        <f t="shared" si="7"/>
        <v>-2995.3000000000011</v>
      </c>
    </row>
    <row r="500" spans="1:5" x14ac:dyDescent="0.2">
      <c r="A500" s="141" t="s">
        <v>1118</v>
      </c>
      <c r="B500" s="153" t="s">
        <v>1348</v>
      </c>
      <c r="C500" s="160">
        <f>SUM(C501:C507)</f>
        <v>300000</v>
      </c>
      <c r="D500" s="160">
        <v>26373613.890000001</v>
      </c>
      <c r="E500" s="160">
        <f t="shared" si="7"/>
        <v>-26073613.890000001</v>
      </c>
    </row>
    <row r="501" spans="1:5" s="144" customFormat="1" ht="25.5" x14ac:dyDescent="0.2">
      <c r="A501" s="136" t="s">
        <v>1119</v>
      </c>
      <c r="B501" s="146" t="s">
        <v>902</v>
      </c>
      <c r="C501" s="162">
        <f>Dati!C502</f>
        <v>0</v>
      </c>
      <c r="D501" s="162">
        <v>0</v>
      </c>
      <c r="E501" s="162">
        <f t="shared" si="7"/>
        <v>0</v>
      </c>
    </row>
    <row r="502" spans="1:5" x14ac:dyDescent="0.2">
      <c r="A502" s="136" t="s">
        <v>1120</v>
      </c>
      <c r="B502" s="146" t="s">
        <v>903</v>
      </c>
      <c r="C502" s="162">
        <f>Dati!C503</f>
        <v>0</v>
      </c>
      <c r="D502" s="162">
        <v>3585.23</v>
      </c>
      <c r="E502" s="162">
        <f t="shared" si="7"/>
        <v>-3585.23</v>
      </c>
    </row>
    <row r="503" spans="1:5" ht="25.5" x14ac:dyDescent="0.2">
      <c r="A503" s="136" t="s">
        <v>1121</v>
      </c>
      <c r="B503" s="146" t="s">
        <v>904</v>
      </c>
      <c r="C503" s="162">
        <f>Dati!C504</f>
        <v>0</v>
      </c>
      <c r="D503" s="162">
        <v>0</v>
      </c>
      <c r="E503" s="162">
        <f t="shared" si="7"/>
        <v>0</v>
      </c>
    </row>
    <row r="504" spans="1:5" ht="25.5" x14ac:dyDescent="0.2">
      <c r="A504" s="136" t="s">
        <v>1122</v>
      </c>
      <c r="B504" s="146" t="s">
        <v>905</v>
      </c>
      <c r="C504" s="162">
        <f>Dati!C505</f>
        <v>0</v>
      </c>
      <c r="D504" s="162">
        <v>0</v>
      </c>
      <c r="E504" s="162">
        <f t="shared" si="7"/>
        <v>0</v>
      </c>
    </row>
    <row r="505" spans="1:5" ht="25.5" x14ac:dyDescent="0.2">
      <c r="A505" s="136" t="s">
        <v>1123</v>
      </c>
      <c r="B505" s="146" t="s">
        <v>1124</v>
      </c>
      <c r="C505" s="162">
        <f>Dati!C506</f>
        <v>0</v>
      </c>
      <c r="D505" s="162">
        <v>0</v>
      </c>
      <c r="E505" s="162">
        <f t="shared" si="7"/>
        <v>0</v>
      </c>
    </row>
    <row r="506" spans="1:5" ht="25.5" x14ac:dyDescent="0.2">
      <c r="A506" s="136" t="s">
        <v>1125</v>
      </c>
      <c r="B506" s="146" t="s">
        <v>906</v>
      </c>
      <c r="C506" s="162">
        <f>Dati!C507</f>
        <v>300000</v>
      </c>
      <c r="D506" s="162">
        <v>361544.03</v>
      </c>
      <c r="E506" s="162">
        <f t="shared" si="7"/>
        <v>-61544.030000000028</v>
      </c>
    </row>
    <row r="507" spans="1:5" x14ac:dyDescent="0.2">
      <c r="A507" s="136" t="s">
        <v>1126</v>
      </c>
      <c r="B507" s="146" t="s">
        <v>907</v>
      </c>
      <c r="C507" s="162">
        <f>Dati!C508</f>
        <v>0</v>
      </c>
      <c r="D507" s="162">
        <v>26008484.629999999</v>
      </c>
      <c r="E507" s="162">
        <f t="shared" si="7"/>
        <v>-26008484.629999999</v>
      </c>
    </row>
    <row r="508" spans="1:5" x14ac:dyDescent="0.2">
      <c r="A508" s="141" t="s">
        <v>1127</v>
      </c>
      <c r="B508" s="154" t="s">
        <v>1128</v>
      </c>
      <c r="C508" s="160">
        <f>+C509+C510</f>
        <v>1743762.52</v>
      </c>
      <c r="D508" s="160">
        <v>14838465.189999999</v>
      </c>
      <c r="E508" s="160">
        <f t="shared" si="7"/>
        <v>-13094702.67</v>
      </c>
    </row>
    <row r="509" spans="1:5" s="144" customFormat="1" x14ac:dyDescent="0.2">
      <c r="A509" s="136" t="s">
        <v>1130</v>
      </c>
      <c r="B509" s="143" t="s">
        <v>0</v>
      </c>
      <c r="C509" s="162">
        <f>Dati!C510</f>
        <v>165441.82999999999</v>
      </c>
      <c r="D509" s="162">
        <v>115819.52</v>
      </c>
      <c r="E509" s="162">
        <f t="shared" si="7"/>
        <v>49622.309999999983</v>
      </c>
    </row>
    <row r="510" spans="1:5" x14ac:dyDescent="0.2">
      <c r="A510" s="141" t="s">
        <v>1</v>
      </c>
      <c r="B510" s="153" t="s">
        <v>2</v>
      </c>
      <c r="C510" s="160">
        <f>SUM(C511:C517)</f>
        <v>1578320.69</v>
      </c>
      <c r="D510" s="160">
        <v>14722645.67</v>
      </c>
      <c r="E510" s="160">
        <f t="shared" si="7"/>
        <v>-13144324.98</v>
      </c>
    </row>
    <row r="511" spans="1:5" x14ac:dyDescent="0.2">
      <c r="A511" s="136" t="s">
        <v>3</v>
      </c>
      <c r="B511" s="146" t="s">
        <v>908</v>
      </c>
      <c r="C511" s="162">
        <f>Dati!C512</f>
        <v>0</v>
      </c>
      <c r="D511" s="162">
        <v>0</v>
      </c>
      <c r="E511" s="162">
        <f t="shared" si="7"/>
        <v>0</v>
      </c>
    </row>
    <row r="512" spans="1:5" x14ac:dyDescent="0.2">
      <c r="A512" s="136" t="s">
        <v>4</v>
      </c>
      <c r="B512" s="146" t="s">
        <v>909</v>
      </c>
      <c r="C512" s="162">
        <f>Dati!C513</f>
        <v>0</v>
      </c>
      <c r="D512" s="162">
        <v>0</v>
      </c>
      <c r="E512" s="162">
        <f t="shared" si="7"/>
        <v>0</v>
      </c>
    </row>
    <row r="513" spans="1:5" ht="25.5" x14ac:dyDescent="0.2">
      <c r="A513" s="136" t="s">
        <v>5</v>
      </c>
      <c r="B513" s="146" t="s">
        <v>910</v>
      </c>
      <c r="C513" s="162">
        <f>Dati!C514</f>
        <v>0</v>
      </c>
      <c r="D513" s="162">
        <v>0</v>
      </c>
      <c r="E513" s="162">
        <f t="shared" si="7"/>
        <v>0</v>
      </c>
    </row>
    <row r="514" spans="1:5" ht="25.5" x14ac:dyDescent="0.2">
      <c r="A514" s="136" t="s">
        <v>6</v>
      </c>
      <c r="B514" s="146" t="s">
        <v>911</v>
      </c>
      <c r="C514" s="162">
        <f>Dati!C515</f>
        <v>15000</v>
      </c>
      <c r="D514" s="162">
        <v>2400</v>
      </c>
      <c r="E514" s="162">
        <f t="shared" si="7"/>
        <v>12600</v>
      </c>
    </row>
    <row r="515" spans="1:5" ht="25.5" x14ac:dyDescent="0.2">
      <c r="A515" s="136" t="s">
        <v>7</v>
      </c>
      <c r="B515" s="146" t="s">
        <v>8</v>
      </c>
      <c r="C515" s="162">
        <f>Dati!C516</f>
        <v>163320.69</v>
      </c>
      <c r="D515" s="162">
        <v>163320.69</v>
      </c>
      <c r="E515" s="162">
        <f t="shared" ref="E515:E564" si="8">C515-D515</f>
        <v>0</v>
      </c>
    </row>
    <row r="516" spans="1:5" x14ac:dyDescent="0.2">
      <c r="A516" s="136" t="s">
        <v>9</v>
      </c>
      <c r="B516" s="146" t="s">
        <v>916</v>
      </c>
      <c r="C516" s="162">
        <f>Dati!C517</f>
        <v>800000</v>
      </c>
      <c r="D516" s="162">
        <v>1231180.43</v>
      </c>
      <c r="E516" s="162">
        <f t="shared" si="8"/>
        <v>-431180.42999999993</v>
      </c>
    </row>
    <row r="517" spans="1:5" x14ac:dyDescent="0.2">
      <c r="A517" s="136" t="s">
        <v>10</v>
      </c>
      <c r="B517" s="146" t="s">
        <v>11</v>
      </c>
      <c r="C517" s="162">
        <f>Dati!C518</f>
        <v>600000</v>
      </c>
      <c r="D517" s="162">
        <v>13325744.550000001</v>
      </c>
      <c r="E517" s="162">
        <f t="shared" si="8"/>
        <v>-12725744.550000001</v>
      </c>
    </row>
    <row r="518" spans="1:5" x14ac:dyDescent="0.2">
      <c r="A518" s="136" t="s">
        <v>12</v>
      </c>
      <c r="B518" s="145" t="s">
        <v>917</v>
      </c>
      <c r="C518" s="162">
        <f>Dati!C519</f>
        <v>0</v>
      </c>
      <c r="D518" s="162">
        <v>0</v>
      </c>
      <c r="E518" s="162">
        <f t="shared" si="8"/>
        <v>0</v>
      </c>
    </row>
    <row r="519" spans="1:5" x14ac:dyDescent="0.2">
      <c r="A519" s="122" t="s">
        <v>13</v>
      </c>
      <c r="B519" s="125" t="s">
        <v>918</v>
      </c>
      <c r="C519" s="161">
        <f>C520+C521</f>
        <v>-1151413.6000000001</v>
      </c>
      <c r="D519" s="161">
        <v>-1851374.2799999998</v>
      </c>
      <c r="E519" s="161">
        <f t="shared" si="8"/>
        <v>699960.6799999997</v>
      </c>
    </row>
    <row r="520" spans="1:5" x14ac:dyDescent="0.2">
      <c r="A520" s="136" t="s">
        <v>14</v>
      </c>
      <c r="B520" s="138" t="s">
        <v>919</v>
      </c>
      <c r="C520" s="162">
        <f>+Dati!C521</f>
        <v>0</v>
      </c>
      <c r="D520" s="162">
        <v>-20698.7</v>
      </c>
      <c r="E520" s="162">
        <f t="shared" si="8"/>
        <v>20698.7</v>
      </c>
    </row>
    <row r="521" spans="1:5" x14ac:dyDescent="0.2">
      <c r="A521" s="141" t="s">
        <v>15</v>
      </c>
      <c r="B521" s="152" t="s">
        <v>920</v>
      </c>
      <c r="C521" s="160">
        <f>C522+C523+C524+C539+C550</f>
        <v>-1151413.6000000001</v>
      </c>
      <c r="D521" s="160">
        <v>-1830675.5799999998</v>
      </c>
      <c r="E521" s="160">
        <f t="shared" si="8"/>
        <v>679261.97999999975</v>
      </c>
    </row>
    <row r="522" spans="1:5" x14ac:dyDescent="0.2">
      <c r="A522" s="136" t="s">
        <v>16</v>
      </c>
      <c r="B522" s="145" t="s">
        <v>921</v>
      </c>
      <c r="C522" s="162">
        <f>Dati!C523</f>
        <v>0</v>
      </c>
      <c r="D522" s="162">
        <v>-61628</v>
      </c>
      <c r="E522" s="162">
        <f t="shared" si="8"/>
        <v>61628</v>
      </c>
    </row>
    <row r="523" spans="1:5" s="144" customFormat="1" x14ac:dyDescent="0.2">
      <c r="A523" s="136" t="s">
        <v>17</v>
      </c>
      <c r="B523" s="145" t="s">
        <v>18</v>
      </c>
      <c r="C523" s="162">
        <f>Dati!C524</f>
        <v>-70000</v>
      </c>
      <c r="D523" s="162">
        <v>-21925.18</v>
      </c>
      <c r="E523" s="162">
        <f t="shared" si="8"/>
        <v>-48074.82</v>
      </c>
    </row>
    <row r="524" spans="1:5" s="144" customFormat="1" x14ac:dyDescent="0.2">
      <c r="A524" s="141" t="s">
        <v>19</v>
      </c>
      <c r="B524" s="154" t="s">
        <v>922</v>
      </c>
      <c r="C524" s="160">
        <f>C525+C528</f>
        <v>-720003.77</v>
      </c>
      <c r="D524" s="160">
        <v>-1125388.24</v>
      </c>
      <c r="E524" s="160">
        <f t="shared" si="8"/>
        <v>405384.47</v>
      </c>
    </row>
    <row r="525" spans="1:5" ht="25.5" x14ac:dyDescent="0.2">
      <c r="A525" s="141" t="s">
        <v>20</v>
      </c>
      <c r="B525" s="153" t="s">
        <v>21</v>
      </c>
      <c r="C525" s="160">
        <f>SUM(C526:C527)</f>
        <v>-4027.77</v>
      </c>
      <c r="D525" s="160">
        <v>-217325.84</v>
      </c>
      <c r="E525" s="160">
        <f t="shared" si="8"/>
        <v>213298.07</v>
      </c>
    </row>
    <row r="526" spans="1:5" ht="25.5" x14ac:dyDescent="0.2">
      <c r="A526" s="136" t="s">
        <v>22</v>
      </c>
      <c r="B526" s="146" t="s">
        <v>23</v>
      </c>
      <c r="C526" s="162">
        <f>Dati!C527</f>
        <v>0</v>
      </c>
      <c r="D526" s="162">
        <v>-12.9</v>
      </c>
      <c r="E526" s="162">
        <f t="shared" si="8"/>
        <v>12.9</v>
      </c>
    </row>
    <row r="527" spans="1:5" s="144" customFormat="1" ht="25.5" x14ac:dyDescent="0.2">
      <c r="A527" s="136" t="s">
        <v>24</v>
      </c>
      <c r="B527" s="146" t="s">
        <v>25</v>
      </c>
      <c r="C527" s="162">
        <f>Dati!C528</f>
        <v>-4027.77</v>
      </c>
      <c r="D527" s="162">
        <v>-217312.94</v>
      </c>
      <c r="E527" s="162">
        <f t="shared" si="8"/>
        <v>213285.17</v>
      </c>
    </row>
    <row r="528" spans="1:5" s="144" customFormat="1" x14ac:dyDescent="0.2">
      <c r="A528" s="141" t="s">
        <v>26</v>
      </c>
      <c r="B528" s="153" t="s">
        <v>923</v>
      </c>
      <c r="C528" s="160">
        <f>C529+C530+SUM(C534:C538)</f>
        <v>-715976</v>
      </c>
      <c r="D528" s="160">
        <v>-908062.4</v>
      </c>
      <c r="E528" s="160">
        <f t="shared" si="8"/>
        <v>192086.40000000002</v>
      </c>
    </row>
    <row r="529" spans="1:5" ht="25.5" x14ac:dyDescent="0.2">
      <c r="A529" s="136" t="s">
        <v>27</v>
      </c>
      <c r="B529" s="146" t="s">
        <v>924</v>
      </c>
      <c r="C529" s="162">
        <f>Dati!C530</f>
        <v>0</v>
      </c>
      <c r="D529" s="162">
        <v>0</v>
      </c>
      <c r="E529" s="162">
        <f t="shared" si="8"/>
        <v>0</v>
      </c>
    </row>
    <row r="530" spans="1:5" x14ac:dyDescent="0.2">
      <c r="A530" s="141" t="s">
        <v>28</v>
      </c>
      <c r="B530" s="155" t="s">
        <v>925</v>
      </c>
      <c r="C530" s="160">
        <f>SUM(C531:C533)</f>
        <v>-22976</v>
      </c>
      <c r="D530" s="160">
        <v>-18650.39</v>
      </c>
      <c r="E530" s="160">
        <f t="shared" si="8"/>
        <v>-4325.6100000000006</v>
      </c>
    </row>
    <row r="531" spans="1:5" s="144" customFormat="1" ht="25.5" x14ac:dyDescent="0.2">
      <c r="A531" s="147" t="s">
        <v>29</v>
      </c>
      <c r="B531" s="158" t="s">
        <v>926</v>
      </c>
      <c r="C531" s="167">
        <f>Dati!C532</f>
        <v>-20000</v>
      </c>
      <c r="D531" s="167">
        <v>-18650.39</v>
      </c>
      <c r="E531" s="167">
        <f t="shared" si="8"/>
        <v>-1349.6100000000006</v>
      </c>
    </row>
    <row r="532" spans="1:5" ht="25.5" x14ac:dyDescent="0.2">
      <c r="A532" s="147" t="s">
        <v>30</v>
      </c>
      <c r="B532" s="158" t="s">
        <v>927</v>
      </c>
      <c r="C532" s="167">
        <f>Dati!C533</f>
        <v>0</v>
      </c>
      <c r="D532" s="167">
        <v>0</v>
      </c>
      <c r="E532" s="167">
        <f t="shared" si="8"/>
        <v>0</v>
      </c>
    </row>
    <row r="533" spans="1:5" x14ac:dyDescent="0.2">
      <c r="A533" s="147" t="s">
        <v>31</v>
      </c>
      <c r="B533" s="158" t="s">
        <v>928</v>
      </c>
      <c r="C533" s="167">
        <f>Dati!C534</f>
        <v>-2976</v>
      </c>
      <c r="D533" s="167">
        <v>0</v>
      </c>
      <c r="E533" s="167">
        <f t="shared" si="8"/>
        <v>-2976</v>
      </c>
    </row>
    <row r="534" spans="1:5" ht="25.5" x14ac:dyDescent="0.2">
      <c r="A534" s="147" t="s">
        <v>32</v>
      </c>
      <c r="B534" s="148" t="s">
        <v>929</v>
      </c>
      <c r="C534" s="167">
        <f>Dati!C535</f>
        <v>0</v>
      </c>
      <c r="D534" s="167">
        <v>0</v>
      </c>
      <c r="E534" s="167">
        <f t="shared" si="8"/>
        <v>0</v>
      </c>
    </row>
    <row r="535" spans="1:5" ht="25.5" x14ac:dyDescent="0.2">
      <c r="A535" s="147" t="s">
        <v>33</v>
      </c>
      <c r="B535" s="148" t="s">
        <v>930</v>
      </c>
      <c r="C535" s="167">
        <f>Dati!C536</f>
        <v>0</v>
      </c>
      <c r="D535" s="167">
        <v>0</v>
      </c>
      <c r="E535" s="167">
        <f t="shared" si="8"/>
        <v>0</v>
      </c>
    </row>
    <row r="536" spans="1:5" ht="25.5" x14ac:dyDescent="0.2">
      <c r="A536" s="147" t="s">
        <v>34</v>
      </c>
      <c r="B536" s="148" t="s">
        <v>931</v>
      </c>
      <c r="C536" s="167">
        <f>Dati!C537</f>
        <v>-60000</v>
      </c>
      <c r="D536" s="167">
        <v>-51189.13</v>
      </c>
      <c r="E536" s="167">
        <f t="shared" si="8"/>
        <v>-8810.8700000000026</v>
      </c>
    </row>
    <row r="537" spans="1:5" ht="25.5" x14ac:dyDescent="0.2">
      <c r="A537" s="147" t="s">
        <v>35</v>
      </c>
      <c r="B537" s="148" t="s">
        <v>932</v>
      </c>
      <c r="C537" s="167">
        <f>Dati!C538</f>
        <v>-552000</v>
      </c>
      <c r="D537" s="167">
        <v>-196407.77</v>
      </c>
      <c r="E537" s="167">
        <f t="shared" si="8"/>
        <v>-355592.23</v>
      </c>
    </row>
    <row r="538" spans="1:5" x14ac:dyDescent="0.2">
      <c r="A538" s="147" t="s">
        <v>36</v>
      </c>
      <c r="B538" s="148" t="s">
        <v>933</v>
      </c>
      <c r="C538" s="167">
        <f>Dati!C539</f>
        <v>-81000</v>
      </c>
      <c r="D538" s="167">
        <v>-641815.11</v>
      </c>
      <c r="E538" s="167">
        <f t="shared" si="8"/>
        <v>560815.11</v>
      </c>
    </row>
    <row r="539" spans="1:5" s="144" customFormat="1" x14ac:dyDescent="0.2">
      <c r="A539" s="141" t="s">
        <v>37</v>
      </c>
      <c r="B539" s="154" t="s">
        <v>934</v>
      </c>
      <c r="C539" s="160">
        <f>SUM(C541:C542)</f>
        <v>-361409.83</v>
      </c>
      <c r="D539" s="160">
        <v>-621734.15999999992</v>
      </c>
      <c r="E539" s="160">
        <f t="shared" si="8"/>
        <v>260324.3299999999</v>
      </c>
    </row>
    <row r="540" spans="1:5" x14ac:dyDescent="0.2">
      <c r="A540" s="136" t="s">
        <v>1349</v>
      </c>
      <c r="B540" s="143" t="s">
        <v>1350</v>
      </c>
      <c r="C540" s="162"/>
      <c r="D540" s="162"/>
      <c r="E540" s="162">
        <f t="shared" si="8"/>
        <v>0</v>
      </c>
    </row>
    <row r="541" spans="1:5" x14ac:dyDescent="0.2">
      <c r="A541" s="147" t="s">
        <v>38</v>
      </c>
      <c r="B541" s="143" t="s">
        <v>1351</v>
      </c>
      <c r="C541" s="167">
        <f>Dati!C542</f>
        <v>-1409.83</v>
      </c>
      <c r="D541" s="167">
        <v>-13624.7</v>
      </c>
      <c r="E541" s="167">
        <f t="shared" si="8"/>
        <v>12214.87</v>
      </c>
    </row>
    <row r="542" spans="1:5" s="144" customFormat="1" x14ac:dyDescent="0.2">
      <c r="A542" s="141" t="s">
        <v>39</v>
      </c>
      <c r="B542" s="153" t="s">
        <v>1352</v>
      </c>
      <c r="C542" s="160">
        <f>SUM(C543:C549)</f>
        <v>-360000</v>
      </c>
      <c r="D542" s="160">
        <v>-608109.46</v>
      </c>
      <c r="E542" s="160">
        <f t="shared" si="8"/>
        <v>248109.45999999996</v>
      </c>
    </row>
    <row r="543" spans="1:5" s="144" customFormat="1" ht="25.5" x14ac:dyDescent="0.2">
      <c r="A543" s="147" t="s">
        <v>40</v>
      </c>
      <c r="B543" s="146" t="s">
        <v>1353</v>
      </c>
      <c r="C543" s="167">
        <f>Dati!C544</f>
        <v>0</v>
      </c>
      <c r="D543" s="167">
        <v>0</v>
      </c>
      <c r="E543" s="167">
        <f t="shared" si="8"/>
        <v>0</v>
      </c>
    </row>
    <row r="544" spans="1:5" s="144" customFormat="1" x14ac:dyDescent="0.2">
      <c r="A544" s="147" t="s">
        <v>41</v>
      </c>
      <c r="B544" s="146" t="s">
        <v>1354</v>
      </c>
      <c r="C544" s="167">
        <f>Dati!C545</f>
        <v>0</v>
      </c>
      <c r="D544" s="167">
        <v>0</v>
      </c>
      <c r="E544" s="167">
        <f t="shared" si="8"/>
        <v>0</v>
      </c>
    </row>
    <row r="545" spans="1:5" s="144" customFormat="1" ht="25.5" x14ac:dyDescent="0.2">
      <c r="A545" s="147" t="s">
        <v>42</v>
      </c>
      <c r="B545" s="146" t="s">
        <v>1355</v>
      </c>
      <c r="C545" s="167">
        <f>Dati!C546</f>
        <v>0</v>
      </c>
      <c r="D545" s="167">
        <v>0</v>
      </c>
      <c r="E545" s="167">
        <f t="shared" si="8"/>
        <v>0</v>
      </c>
    </row>
    <row r="546" spans="1:5" ht="25.5" x14ac:dyDescent="0.2">
      <c r="A546" s="147" t="s">
        <v>43</v>
      </c>
      <c r="B546" s="146" t="s">
        <v>1356</v>
      </c>
      <c r="C546" s="167">
        <f>Dati!C547</f>
        <v>0</v>
      </c>
      <c r="D546" s="167">
        <v>0</v>
      </c>
      <c r="E546" s="167">
        <f t="shared" si="8"/>
        <v>0</v>
      </c>
    </row>
    <row r="547" spans="1:5" ht="25.5" x14ac:dyDescent="0.2">
      <c r="A547" s="147" t="s">
        <v>44</v>
      </c>
      <c r="B547" s="146" t="s">
        <v>1357</v>
      </c>
      <c r="C547" s="167">
        <f>Dati!C548</f>
        <v>0</v>
      </c>
      <c r="D547" s="167">
        <v>-19785.810000000001</v>
      </c>
      <c r="E547" s="167">
        <f t="shared" si="8"/>
        <v>19785.810000000001</v>
      </c>
    </row>
    <row r="548" spans="1:5" ht="25.5" x14ac:dyDescent="0.2">
      <c r="A548" s="147" t="s">
        <v>45</v>
      </c>
      <c r="B548" s="146" t="s">
        <v>1358</v>
      </c>
      <c r="C548" s="167">
        <f>Dati!C549</f>
        <v>-60000</v>
      </c>
      <c r="D548" s="167">
        <v>-47994.28</v>
      </c>
      <c r="E548" s="167">
        <f t="shared" si="8"/>
        <v>-12005.720000000001</v>
      </c>
    </row>
    <row r="549" spans="1:5" x14ac:dyDescent="0.2">
      <c r="A549" s="147" t="s">
        <v>46</v>
      </c>
      <c r="B549" s="146" t="s">
        <v>1359</v>
      </c>
      <c r="C549" s="167">
        <f>Dati!C550</f>
        <v>-300000</v>
      </c>
      <c r="D549" s="167">
        <v>-540329.37</v>
      </c>
      <c r="E549" s="167">
        <f t="shared" si="8"/>
        <v>240329.37</v>
      </c>
    </row>
    <row r="550" spans="1:5" x14ac:dyDescent="0.2">
      <c r="A550" s="136" t="s">
        <v>47</v>
      </c>
      <c r="B550" s="143" t="s">
        <v>935</v>
      </c>
      <c r="C550" s="162">
        <f>Dati!C551</f>
        <v>0</v>
      </c>
      <c r="D550" s="162">
        <v>0</v>
      </c>
      <c r="E550" s="162">
        <f t="shared" si="8"/>
        <v>0</v>
      </c>
    </row>
    <row r="551" spans="1:5" x14ac:dyDescent="0.2">
      <c r="A551" s="122" t="s">
        <v>48</v>
      </c>
      <c r="B551" s="123" t="s">
        <v>936</v>
      </c>
      <c r="C551" s="161">
        <f>C493+C519</f>
        <v>993528.48</v>
      </c>
      <c r="D551" s="161">
        <v>39990263.699999996</v>
      </c>
      <c r="E551" s="161">
        <f t="shared" si="8"/>
        <v>-38996735.219999999</v>
      </c>
    </row>
    <row r="552" spans="1:5" x14ac:dyDescent="0.2">
      <c r="A552" s="122" t="s">
        <v>49</v>
      </c>
      <c r="B552" s="123" t="s">
        <v>50</v>
      </c>
      <c r="C552" s="161">
        <f>C135+C468+C487+C491+C551</f>
        <v>-56587196.969572805</v>
      </c>
      <c r="D552" s="161">
        <v>20474610.929999396</v>
      </c>
      <c r="E552" s="161">
        <f t="shared" si="8"/>
        <v>-77061807.899572194</v>
      </c>
    </row>
    <row r="553" spans="1:5" s="144" customFormat="1" x14ac:dyDescent="0.2">
      <c r="A553" s="122" t="s">
        <v>828</v>
      </c>
      <c r="B553" s="123" t="s">
        <v>937</v>
      </c>
      <c r="C553" s="160"/>
      <c r="D553" s="160"/>
      <c r="E553" s="160">
        <f t="shared" si="8"/>
        <v>0</v>
      </c>
    </row>
    <row r="554" spans="1:5" x14ac:dyDescent="0.2">
      <c r="A554" s="122" t="s">
        <v>51</v>
      </c>
      <c r="B554" s="125" t="s">
        <v>938</v>
      </c>
      <c r="C554" s="161">
        <f>SUM(C555:C558)</f>
        <v>-19911085.510000002</v>
      </c>
      <c r="D554" s="161">
        <v>-19699831.749999996</v>
      </c>
      <c r="E554" s="161">
        <f t="shared" si="8"/>
        <v>-211253.76000000536</v>
      </c>
    </row>
    <row r="555" spans="1:5" x14ac:dyDescent="0.2">
      <c r="A555" s="136" t="s">
        <v>52</v>
      </c>
      <c r="B555" s="138" t="s">
        <v>939</v>
      </c>
      <c r="C555" s="162">
        <f>Dati!C556</f>
        <v>-17510789.970000003</v>
      </c>
      <c r="D555" s="162">
        <v>-17390519.239999998</v>
      </c>
      <c r="E555" s="162">
        <f t="shared" si="8"/>
        <v>-120270.73000000417</v>
      </c>
    </row>
    <row r="556" spans="1:5" x14ac:dyDescent="0.2">
      <c r="A556" s="136" t="s">
        <v>53</v>
      </c>
      <c r="B556" s="138" t="s">
        <v>940</v>
      </c>
      <c r="C556" s="162">
        <f>Dati!C557</f>
        <v>-2130295.54</v>
      </c>
      <c r="D556" s="162">
        <v>-2046295.54</v>
      </c>
      <c r="E556" s="162">
        <f t="shared" si="8"/>
        <v>-84000</v>
      </c>
    </row>
    <row r="557" spans="1:5" x14ac:dyDescent="0.2">
      <c r="A557" s="136" t="s">
        <v>54</v>
      </c>
      <c r="B557" s="138" t="s">
        <v>941</v>
      </c>
      <c r="C557" s="162">
        <f>Dati!C558</f>
        <v>-270000</v>
      </c>
      <c r="D557" s="162">
        <v>-263016.96999999997</v>
      </c>
      <c r="E557" s="162">
        <f t="shared" si="8"/>
        <v>-6983.0300000000279</v>
      </c>
    </row>
    <row r="558" spans="1:5" x14ac:dyDescent="0.2">
      <c r="A558" s="136" t="s">
        <v>55</v>
      </c>
      <c r="B558" s="138" t="s">
        <v>56</v>
      </c>
      <c r="C558" s="162">
        <f>Dati!C559</f>
        <v>0</v>
      </c>
      <c r="D558" s="162">
        <v>0</v>
      </c>
      <c r="E558" s="162">
        <f t="shared" si="8"/>
        <v>0</v>
      </c>
    </row>
    <row r="559" spans="1:5" x14ac:dyDescent="0.2">
      <c r="A559" s="122" t="s">
        <v>57</v>
      </c>
      <c r="B559" s="125" t="s">
        <v>942</v>
      </c>
      <c r="C559" s="161">
        <f>SUM(C560:C561)</f>
        <v>-277195.40000000002</v>
      </c>
      <c r="D559" s="161">
        <v>-277195.40000000002</v>
      </c>
      <c r="E559" s="161">
        <f t="shared" si="8"/>
        <v>0</v>
      </c>
    </row>
    <row r="560" spans="1:5" x14ac:dyDescent="0.2">
      <c r="A560" s="120" t="s">
        <v>58</v>
      </c>
      <c r="B560" s="138" t="s">
        <v>943</v>
      </c>
      <c r="C560" s="162">
        <f>Dati!C561</f>
        <v>-277195.40000000002</v>
      </c>
      <c r="D560" s="162">
        <v>-277195.40000000002</v>
      </c>
      <c r="E560" s="162">
        <f t="shared" si="8"/>
        <v>0</v>
      </c>
    </row>
    <row r="561" spans="1:5" x14ac:dyDescent="0.2">
      <c r="A561" s="120" t="s">
        <v>59</v>
      </c>
      <c r="B561" s="138" t="s">
        <v>944</v>
      </c>
      <c r="C561" s="162">
        <f>Dati!C562</f>
        <v>0</v>
      </c>
      <c r="D561" s="162">
        <v>0</v>
      </c>
      <c r="E561" s="162">
        <f t="shared" si="8"/>
        <v>0</v>
      </c>
    </row>
    <row r="562" spans="1:5" s="25" customFormat="1" x14ac:dyDescent="0.2">
      <c r="A562" s="120" t="s">
        <v>60</v>
      </c>
      <c r="B562" s="2" t="s">
        <v>945</v>
      </c>
      <c r="C562" s="163">
        <f>Dati!C563</f>
        <v>-200000</v>
      </c>
      <c r="D562" s="163">
        <v>-491960.9</v>
      </c>
      <c r="E562" s="163">
        <f t="shared" si="8"/>
        <v>291960.90000000002</v>
      </c>
    </row>
    <row r="563" spans="1:5" x14ac:dyDescent="0.2">
      <c r="A563" s="122" t="s">
        <v>61</v>
      </c>
      <c r="B563" s="123" t="s">
        <v>946</v>
      </c>
      <c r="C563" s="161">
        <f>C554+C559+C562</f>
        <v>-20388280.91</v>
      </c>
      <c r="D563" s="161">
        <v>-20468988.049999993</v>
      </c>
      <c r="E563" s="161">
        <f t="shared" si="8"/>
        <v>80707.139999993145</v>
      </c>
    </row>
    <row r="564" spans="1:5" x14ac:dyDescent="0.2">
      <c r="A564" s="122" t="s">
        <v>62</v>
      </c>
      <c r="B564" s="123" t="s">
        <v>947</v>
      </c>
      <c r="C564" s="161">
        <f>C552+C563</f>
        <v>-76975477.879572809</v>
      </c>
      <c r="D564" s="161">
        <v>5622.8799994029105</v>
      </c>
      <c r="E564" s="161">
        <f t="shared" si="8"/>
        <v>-76981100.759572208</v>
      </c>
    </row>
    <row r="565" spans="1:5" x14ac:dyDescent="0.2">
      <c r="A565" s="174"/>
      <c r="B565" s="174"/>
      <c r="C565" s="168"/>
    </row>
    <row r="566" spans="1:5" x14ac:dyDescent="0.2">
      <c r="A566" s="174"/>
      <c r="B566" s="174"/>
      <c r="C566" s="168"/>
    </row>
    <row r="567" spans="1:5" x14ac:dyDescent="0.2">
      <c r="A567" s="172"/>
      <c r="B567" s="1"/>
    </row>
    <row r="568" spans="1:5" x14ac:dyDescent="0.2">
      <c r="A568" s="26"/>
      <c r="B568" s="26"/>
      <c r="C568" s="168"/>
    </row>
    <row r="569" spans="1:5" x14ac:dyDescent="0.2">
      <c r="A569" s="26"/>
      <c r="B569" s="26"/>
      <c r="C569" s="168"/>
    </row>
    <row r="570" spans="1:5" x14ac:dyDescent="0.2">
      <c r="A570" s="26"/>
      <c r="B570" s="26"/>
      <c r="C570" s="168"/>
    </row>
    <row r="571" spans="1:5" x14ac:dyDescent="0.2">
      <c r="A571" s="174"/>
      <c r="B571" s="174"/>
      <c r="C571" s="168"/>
    </row>
    <row r="572" spans="1:5" x14ac:dyDescent="0.2">
      <c r="A572" s="26"/>
      <c r="B572" s="26"/>
      <c r="C572" s="168"/>
    </row>
    <row r="573" spans="1:5" x14ac:dyDescent="0.2">
      <c r="A573" s="26"/>
      <c r="B573" s="26"/>
      <c r="C573" s="168"/>
    </row>
    <row r="574" spans="1:5" x14ac:dyDescent="0.2">
      <c r="A574" s="26"/>
      <c r="B574" s="26"/>
      <c r="C574" s="168"/>
    </row>
    <row r="575" spans="1:5" x14ac:dyDescent="0.2">
      <c r="A575" s="27"/>
      <c r="C575" s="168"/>
    </row>
    <row r="576" spans="1:5" x14ac:dyDescent="0.2">
      <c r="A576" s="26"/>
      <c r="B576" s="26"/>
      <c r="C576" s="168"/>
    </row>
    <row r="577" spans="2:2" x14ac:dyDescent="0.2">
      <c r="B577" s="26"/>
    </row>
    <row r="578" spans="2:2" x14ac:dyDescent="0.2">
      <c r="B578" s="26"/>
    </row>
    <row r="579" spans="2:2" x14ac:dyDescent="0.2">
      <c r="B579" s="26"/>
    </row>
    <row r="580" spans="2:2" x14ac:dyDescent="0.2">
      <c r="B580" s="26"/>
    </row>
    <row r="581" spans="2:2" x14ac:dyDescent="0.2">
      <c r="B581" s="26"/>
    </row>
    <row r="582" spans="2:2" x14ac:dyDescent="0.2">
      <c r="B582" s="26"/>
    </row>
    <row r="583" spans="2:2" x14ac:dyDescent="0.2">
      <c r="B583" s="26"/>
    </row>
    <row r="584" spans="2:2" x14ac:dyDescent="0.2">
      <c r="B584" s="26"/>
    </row>
    <row r="585" spans="2:2" x14ac:dyDescent="0.2">
      <c r="B585" s="26"/>
    </row>
    <row r="586" spans="2:2" x14ac:dyDescent="0.2">
      <c r="B586" s="26"/>
    </row>
    <row r="587" spans="2:2" x14ac:dyDescent="0.2">
      <c r="B587" s="26"/>
    </row>
    <row r="588" spans="2:2" x14ac:dyDescent="0.2">
      <c r="B588" s="26"/>
    </row>
    <row r="589" spans="2:2" x14ac:dyDescent="0.2">
      <c r="B589" s="26"/>
    </row>
    <row r="590" spans="2:2" x14ac:dyDescent="0.2">
      <c r="B590" s="26"/>
    </row>
    <row r="591" spans="2:2" x14ac:dyDescent="0.2">
      <c r="B591" s="26"/>
    </row>
    <row r="592" spans="2:2" x14ac:dyDescent="0.2">
      <c r="B592" s="26"/>
    </row>
    <row r="593" spans="2:2" x14ac:dyDescent="0.2">
      <c r="B593" s="26"/>
    </row>
    <row r="594" spans="2:2" x14ac:dyDescent="0.2">
      <c r="B594" s="26"/>
    </row>
    <row r="595" spans="2:2" x14ac:dyDescent="0.2">
      <c r="B595" s="26"/>
    </row>
    <row r="596" spans="2:2" x14ac:dyDescent="0.2">
      <c r="B596" s="26"/>
    </row>
    <row r="597" spans="2:2" x14ac:dyDescent="0.2">
      <c r="B597" s="26"/>
    </row>
    <row r="598" spans="2:2" x14ac:dyDescent="0.2">
      <c r="B598" s="26"/>
    </row>
    <row r="599" spans="2:2" x14ac:dyDescent="0.2">
      <c r="B599" s="26"/>
    </row>
    <row r="600" spans="2:2" x14ac:dyDescent="0.2">
      <c r="B600" s="26"/>
    </row>
    <row r="601" spans="2:2" x14ac:dyDescent="0.2">
      <c r="B601" s="26"/>
    </row>
    <row r="602" spans="2:2" x14ac:dyDescent="0.2">
      <c r="B602" s="26"/>
    </row>
    <row r="603" spans="2:2" x14ac:dyDescent="0.2">
      <c r="B603" s="26"/>
    </row>
    <row r="604" spans="2:2" x14ac:dyDescent="0.2">
      <c r="B604" s="26"/>
    </row>
    <row r="605" spans="2:2" x14ac:dyDescent="0.2">
      <c r="B605" s="26"/>
    </row>
    <row r="606" spans="2:2" x14ac:dyDescent="0.2">
      <c r="B606" s="26"/>
    </row>
    <row r="607" spans="2:2" x14ac:dyDescent="0.2">
      <c r="B607" s="26"/>
    </row>
    <row r="608" spans="2:2" x14ac:dyDescent="0.2">
      <c r="B608" s="26"/>
    </row>
    <row r="609" spans="2:2" x14ac:dyDescent="0.2">
      <c r="B609" s="26"/>
    </row>
    <row r="610" spans="2:2" x14ac:dyDescent="0.2">
      <c r="B610" s="26"/>
    </row>
    <row r="611" spans="2:2" x14ac:dyDescent="0.2">
      <c r="B611" s="26"/>
    </row>
    <row r="612" spans="2:2" x14ac:dyDescent="0.2">
      <c r="B612" s="26"/>
    </row>
    <row r="613" spans="2:2" x14ac:dyDescent="0.2">
      <c r="B613" s="26"/>
    </row>
    <row r="614" spans="2:2" x14ac:dyDescent="0.2">
      <c r="B614" s="26"/>
    </row>
    <row r="615" spans="2:2" x14ac:dyDescent="0.2">
      <c r="B615" s="26"/>
    </row>
    <row r="616" spans="2:2" x14ac:dyDescent="0.2">
      <c r="B616" s="26"/>
    </row>
    <row r="617" spans="2:2" x14ac:dyDescent="0.2">
      <c r="B617" s="26"/>
    </row>
    <row r="618" spans="2:2" x14ac:dyDescent="0.2">
      <c r="B618" s="26"/>
    </row>
    <row r="619" spans="2:2" x14ac:dyDescent="0.2">
      <c r="B619" s="26"/>
    </row>
    <row r="620" spans="2:2" x14ac:dyDescent="0.2">
      <c r="B620" s="26"/>
    </row>
    <row r="621" spans="2:2" x14ac:dyDescent="0.2">
      <c r="B621" s="26"/>
    </row>
    <row r="622" spans="2:2" x14ac:dyDescent="0.2">
      <c r="B622" s="26"/>
    </row>
    <row r="623" spans="2:2" x14ac:dyDescent="0.2">
      <c r="B623" s="26"/>
    </row>
    <row r="624" spans="2:2" x14ac:dyDescent="0.2">
      <c r="B624" s="26"/>
    </row>
    <row r="625" spans="2:2" x14ac:dyDescent="0.2">
      <c r="B625" s="26"/>
    </row>
    <row r="626" spans="2:2" x14ac:dyDescent="0.2">
      <c r="B626" s="26"/>
    </row>
    <row r="627" spans="2:2" x14ac:dyDescent="0.2">
      <c r="B627" s="26"/>
    </row>
    <row r="628" spans="2:2" x14ac:dyDescent="0.2">
      <c r="B628" s="26"/>
    </row>
    <row r="629" spans="2:2" x14ac:dyDescent="0.2">
      <c r="B629" s="26"/>
    </row>
    <row r="630" spans="2:2" x14ac:dyDescent="0.2">
      <c r="B630" s="26"/>
    </row>
    <row r="631" spans="2:2" x14ac:dyDescent="0.2">
      <c r="B631" s="26"/>
    </row>
    <row r="632" spans="2:2" x14ac:dyDescent="0.2">
      <c r="B632" s="26"/>
    </row>
    <row r="633" spans="2:2" x14ac:dyDescent="0.2">
      <c r="B633" s="26"/>
    </row>
    <row r="634" spans="2:2" x14ac:dyDescent="0.2">
      <c r="B634" s="26"/>
    </row>
    <row r="635" spans="2:2" x14ac:dyDescent="0.2">
      <c r="B635" s="26"/>
    </row>
    <row r="636" spans="2:2" x14ac:dyDescent="0.2">
      <c r="B636" s="26"/>
    </row>
    <row r="637" spans="2:2" x14ac:dyDescent="0.2">
      <c r="B637" s="26"/>
    </row>
    <row r="638" spans="2:2" x14ac:dyDescent="0.2">
      <c r="B638" s="26"/>
    </row>
    <row r="639" spans="2:2" x14ac:dyDescent="0.2">
      <c r="B639" s="26"/>
    </row>
    <row r="640" spans="2:2" x14ac:dyDescent="0.2">
      <c r="B640" s="26"/>
    </row>
    <row r="641" spans="2:2" x14ac:dyDescent="0.2">
      <c r="B641" s="26"/>
    </row>
    <row r="642" spans="2:2" x14ac:dyDescent="0.2">
      <c r="B642" s="26"/>
    </row>
    <row r="643" spans="2:2" x14ac:dyDescent="0.2">
      <c r="B643" s="26"/>
    </row>
    <row r="644" spans="2:2" x14ac:dyDescent="0.2">
      <c r="B644" s="26"/>
    </row>
    <row r="645" spans="2:2" x14ac:dyDescent="0.2">
      <c r="B645" s="26"/>
    </row>
    <row r="646" spans="2:2" x14ac:dyDescent="0.2">
      <c r="B646" s="26"/>
    </row>
    <row r="647" spans="2:2" x14ac:dyDescent="0.2">
      <c r="B647" s="26"/>
    </row>
    <row r="648" spans="2:2" x14ac:dyDescent="0.2">
      <c r="B648" s="26"/>
    </row>
  </sheetData>
  <phoneticPr fontId="25" type="noConversion"/>
  <pageMargins left="0.6692913385826772" right="0.62992125984251968" top="0.98425196850393704" bottom="0.9055118110236221" header="0.51181102362204722" footer="0.51181102362204722"/>
  <pageSetup paperSize="9" scale="66" fitToHeight="11" orientation="portrait" r:id="rId1"/>
  <headerFooter alignWithMargins="0">
    <oddHeader>&amp;C&amp;"Arial,Grassetto"&amp;22MODELLO CE</oddHeader>
    <oddFooter>&amp;C&amp;"Arial,Grassetto"&amp;12Modello CE 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280"/>
  <sheetViews>
    <sheetView topLeftCell="A101" workbookViewId="0">
      <selection activeCell="C8" sqref="C8"/>
    </sheetView>
  </sheetViews>
  <sheetFormatPr defaultColWidth="10.42578125" defaultRowHeight="11.25" x14ac:dyDescent="0.2"/>
  <cols>
    <col min="1" max="1" width="84.28515625" style="7" customWidth="1"/>
    <col min="2" max="2" width="15.28515625" style="36" customWidth="1"/>
    <col min="3" max="16384" width="10.42578125" style="7"/>
  </cols>
  <sheetData>
    <row r="1" spans="1:2" s="3" customFormat="1" ht="12.75" x14ac:dyDescent="0.2">
      <c r="A1" s="118" t="s">
        <v>296</v>
      </c>
      <c r="B1" s="119" t="str">
        <f>+'Modello CE'!C1</f>
        <v>Preventivo 2022</v>
      </c>
    </row>
    <row r="2" spans="1:2" s="3" customFormat="1" x14ac:dyDescent="0.2">
      <c r="A2" s="12" t="s">
        <v>583</v>
      </c>
      <c r="B2" s="28">
        <f>B3+B4+B11+B16</f>
        <v>1233001308.6841614</v>
      </c>
    </row>
    <row r="3" spans="1:2" s="4" customFormat="1" x14ac:dyDescent="0.2">
      <c r="A3" s="9" t="s">
        <v>584</v>
      </c>
      <c r="B3" s="29">
        <f>+'Modello CE'!C5+'Modello CE'!C12</f>
        <v>1216037128.4941614</v>
      </c>
    </row>
    <row r="4" spans="1:2" s="4" customFormat="1" x14ac:dyDescent="0.2">
      <c r="A4" s="9" t="s">
        <v>585</v>
      </c>
      <c r="B4" s="29">
        <f>SUM(B5:B10)</f>
        <v>16964180.190000001</v>
      </c>
    </row>
    <row r="5" spans="1:2" s="4" customFormat="1" x14ac:dyDescent="0.2">
      <c r="A5" s="5" t="s">
        <v>586</v>
      </c>
      <c r="B5" s="29">
        <f>+'Modello CE'!C15</f>
        <v>0</v>
      </c>
    </row>
    <row r="6" spans="1:2" s="4" customFormat="1" ht="22.5" x14ac:dyDescent="0.2">
      <c r="A6" s="5" t="s">
        <v>587</v>
      </c>
      <c r="B6" s="29">
        <f>+'Modello CE'!C16</f>
        <v>0</v>
      </c>
    </row>
    <row r="7" spans="1:2" s="4" customFormat="1" ht="22.5" x14ac:dyDescent="0.2">
      <c r="A7" s="5" t="s">
        <v>588</v>
      </c>
      <c r="B7" s="29">
        <f>+'Modello CE'!C17</f>
        <v>13257122.49</v>
      </c>
    </row>
    <row r="8" spans="1:2" s="4" customFormat="1" x14ac:dyDescent="0.2">
      <c r="A8" s="5" t="s">
        <v>589</v>
      </c>
      <c r="B8" s="29">
        <f>+'Modello CE'!C18</f>
        <v>0</v>
      </c>
    </row>
    <row r="9" spans="1:2" s="4" customFormat="1" x14ac:dyDescent="0.2">
      <c r="A9" s="5" t="s">
        <v>590</v>
      </c>
      <c r="B9" s="29">
        <f>+'Modello CE'!C20+'Modello CE'!C21</f>
        <v>9630</v>
      </c>
    </row>
    <row r="10" spans="1:2" s="4" customFormat="1" x14ac:dyDescent="0.2">
      <c r="A10" s="5" t="s">
        <v>591</v>
      </c>
      <c r="B10" s="29">
        <f>+'Modello CE'!C24+'Modello CE'!C25+'Modello CE'!C26</f>
        <v>3697427.7</v>
      </c>
    </row>
    <row r="11" spans="1:2" s="4" customFormat="1" x14ac:dyDescent="0.2">
      <c r="A11" s="9" t="s">
        <v>592</v>
      </c>
      <c r="B11" s="29">
        <f>SUM(B12:B15)</f>
        <v>0</v>
      </c>
    </row>
    <row r="12" spans="1:2" s="4" customFormat="1" x14ac:dyDescent="0.2">
      <c r="A12" s="5" t="s">
        <v>593</v>
      </c>
      <c r="B12" s="29">
        <f>+'Modello CE'!C29</f>
        <v>0</v>
      </c>
    </row>
    <row r="13" spans="1:2" s="4" customFormat="1" x14ac:dyDescent="0.2">
      <c r="A13" s="5" t="s">
        <v>594</v>
      </c>
      <c r="B13" s="29">
        <f>+'Modello CE'!C30</f>
        <v>0</v>
      </c>
    </row>
    <row r="14" spans="1:2" s="4" customFormat="1" x14ac:dyDescent="0.2">
      <c r="A14" s="5" t="s">
        <v>595</v>
      </c>
      <c r="B14" s="29">
        <f>+'Modello CE'!C31</f>
        <v>0</v>
      </c>
    </row>
    <row r="15" spans="1:2" s="4" customFormat="1" x14ac:dyDescent="0.2">
      <c r="A15" s="5" t="s">
        <v>596</v>
      </c>
      <c r="B15" s="29">
        <f>+'Modello CE'!C32</f>
        <v>0</v>
      </c>
    </row>
    <row r="16" spans="1:2" s="4" customFormat="1" x14ac:dyDescent="0.2">
      <c r="A16" s="9" t="s">
        <v>597</v>
      </c>
      <c r="B16" s="29">
        <f>+'Modello CE'!C33</f>
        <v>0</v>
      </c>
    </row>
    <row r="17" spans="1:2" s="3" customFormat="1" x14ac:dyDescent="0.2">
      <c r="A17" s="13" t="s">
        <v>598</v>
      </c>
      <c r="B17" s="30">
        <f>+'Modello CE'!C35+'Modello CE'!C36</f>
        <v>0</v>
      </c>
    </row>
    <row r="18" spans="1:2" s="3" customFormat="1" x14ac:dyDescent="0.2">
      <c r="A18" s="13" t="s">
        <v>129</v>
      </c>
      <c r="B18" s="30">
        <f>+'Modello CE'!C39+'Modello CE'!C40+'Modello CE'!C41+'Modello CE'!C42</f>
        <v>515136.84</v>
      </c>
    </row>
    <row r="19" spans="1:2" s="3" customFormat="1" x14ac:dyDescent="0.2">
      <c r="A19" s="13" t="s">
        <v>599</v>
      </c>
      <c r="B19" s="30">
        <f>SUM(B20:B22)</f>
        <v>65804793.00999999</v>
      </c>
    </row>
    <row r="20" spans="1:2" s="4" customFormat="1" x14ac:dyDescent="0.2">
      <c r="A20" s="9" t="s">
        <v>600</v>
      </c>
      <c r="B20" s="29">
        <f>+SUM('Modello CE'!C46:C60)+SUM('Modello CE'!C63:C75)+SUM('Modello CE'!C78:C80)+SUM('Modello CE'!C84:C88)</f>
        <v>50690730.129999995</v>
      </c>
    </row>
    <row r="21" spans="1:2" s="4" customFormat="1" x14ac:dyDescent="0.2">
      <c r="A21" s="9" t="s">
        <v>601</v>
      </c>
      <c r="B21" s="29">
        <f>+SUM('Modello CE'!C91:C97)</f>
        <v>5766700</v>
      </c>
    </row>
    <row r="22" spans="1:2" s="4" customFormat="1" x14ac:dyDescent="0.2">
      <c r="A22" s="9" t="s">
        <v>602</v>
      </c>
      <c r="B22" s="29">
        <f>+'Modello CE'!C61+'Modello CE'!C89</f>
        <v>9347362.879999999</v>
      </c>
    </row>
    <row r="23" spans="1:2" s="3" customFormat="1" x14ac:dyDescent="0.2">
      <c r="A23" s="13" t="s">
        <v>333</v>
      </c>
      <c r="B23" s="30">
        <f>+SUM('Modello CE'!C99,'Modello CE'!C101,'Modello CE'!C102,'Modello CE'!C104,'Modello CE'!C105,'Modello CE'!C106,'Modello CE'!C109,'Modello CE'!C110,'Modello CE'!C111,'Modello CE'!C114,'Modello CE'!C115,'Modello CE'!C116,'Modello CE'!C118)</f>
        <v>18760049.507223245</v>
      </c>
    </row>
    <row r="24" spans="1:2" s="3" customFormat="1" x14ac:dyDescent="0.2">
      <c r="A24" s="13" t="s">
        <v>603</v>
      </c>
      <c r="B24" s="30">
        <f>+'Modello CE'!C120+'Modello CE'!C121+'Modello CE'!C122</f>
        <v>19350000</v>
      </c>
    </row>
    <row r="25" spans="1:2" s="3" customFormat="1" x14ac:dyDescent="0.2">
      <c r="A25" s="13" t="s">
        <v>604</v>
      </c>
      <c r="B25" s="30">
        <f>+'Modello CE'!C124+'Modello CE'!C125+'Modello CE'!C126+'Modello CE'!C127+'Modello CE'!C128+'Modello CE'!C129</f>
        <v>13500000</v>
      </c>
    </row>
    <row r="26" spans="1:2" s="3" customFormat="1" x14ac:dyDescent="0.2">
      <c r="A26" s="13" t="s">
        <v>605</v>
      </c>
      <c r="B26" s="30">
        <f>+'Modello CE'!C130</f>
        <v>0</v>
      </c>
    </row>
    <row r="27" spans="1:2" s="3" customFormat="1" x14ac:dyDescent="0.2">
      <c r="A27" s="13" t="s">
        <v>393</v>
      </c>
      <c r="B27" s="30">
        <f>+'Modello CE'!C132+'Modello CE'!C133+'Modello CE'!C134</f>
        <v>3434994.83</v>
      </c>
    </row>
    <row r="28" spans="1:2" s="3" customFormat="1" x14ac:dyDescent="0.2">
      <c r="A28" s="14" t="s">
        <v>912</v>
      </c>
      <c r="B28" s="30">
        <f>B2+B17+B18+B19+SUM(B23:B27)</f>
        <v>1354366282.8713846</v>
      </c>
    </row>
    <row r="29" spans="1:2" s="4" customFormat="1" x14ac:dyDescent="0.2">
      <c r="A29" s="15"/>
      <c r="B29" s="29"/>
    </row>
    <row r="30" spans="1:2" s="3" customFormat="1" x14ac:dyDescent="0.2">
      <c r="A30" s="16" t="s">
        <v>606</v>
      </c>
      <c r="B30" s="30"/>
    </row>
    <row r="31" spans="1:2" s="3" customFormat="1" x14ac:dyDescent="0.2">
      <c r="A31" s="13" t="s">
        <v>607</v>
      </c>
      <c r="B31" s="30">
        <f>SUM(B32:B33)</f>
        <v>169139616.37363636</v>
      </c>
    </row>
    <row r="32" spans="1:2" s="4" customFormat="1" x14ac:dyDescent="0.2">
      <c r="A32" s="9" t="s">
        <v>608</v>
      </c>
      <c r="B32" s="29">
        <f>+('Modello CE'!C140+'Modello CE'!C141+'Modello CE'!C143+'Modello CE'!C148+'Modello CE'!C149+'Modello CE'!C150+SUM('Modello CE'!C152:C160))*-1</f>
        <v>166479616.37363636</v>
      </c>
    </row>
    <row r="33" spans="1:2" s="4" customFormat="1" x14ac:dyDescent="0.2">
      <c r="A33" s="9" t="s">
        <v>609</v>
      </c>
      <c r="B33" s="29">
        <f>+(SUM('Modello CE'!C169:C175))*-1</f>
        <v>2660000</v>
      </c>
    </row>
    <row r="34" spans="1:2" s="3" customFormat="1" x14ac:dyDescent="0.2">
      <c r="A34" s="13" t="s">
        <v>610</v>
      </c>
      <c r="B34" s="30">
        <f>SUM(B35:B51)</f>
        <v>829158319.22262084</v>
      </c>
    </row>
    <row r="35" spans="1:2" s="4" customFormat="1" x14ac:dyDescent="0.2">
      <c r="A35" s="9" t="s">
        <v>611</v>
      </c>
      <c r="B35" s="29">
        <f>+(SUM('Modello CE'!C180:C185))*-1</f>
        <v>94100583.019999966</v>
      </c>
    </row>
    <row r="36" spans="1:2" s="4" customFormat="1" x14ac:dyDescent="0.2">
      <c r="A36" s="9" t="s">
        <v>612</v>
      </c>
      <c r="B36" s="29">
        <f>+('Modello CE'!C187+'Modello CE'!C188+'Modello CE'!C189)*-1</f>
        <v>78534199.910000011</v>
      </c>
    </row>
    <row r="37" spans="1:2" s="4" customFormat="1" x14ac:dyDescent="0.2">
      <c r="A37" s="9" t="s">
        <v>613</v>
      </c>
      <c r="B37" s="29">
        <f>+('Modello CE'!C191+'Modello CE'!C193+'Modello CE'!C195+'Modello CE'!C197+'Modello CE'!C199+'Modello CE'!C201+'Modello CE'!C203+'Modello CE'!C205+'Modello CE'!C207)*-1</f>
        <v>111259549.77</v>
      </c>
    </row>
    <row r="38" spans="1:2" s="4" customFormat="1" x14ac:dyDescent="0.2">
      <c r="A38" s="9" t="s">
        <v>614</v>
      </c>
      <c r="B38" s="29">
        <f>+('Modello CE'!C210+'Modello CE'!C211+'Modello CE'!C212+'Modello CE'!C213+'Modello CE'!C214)*-1</f>
        <v>220000</v>
      </c>
    </row>
    <row r="39" spans="1:2" s="4" customFormat="1" x14ac:dyDescent="0.2">
      <c r="A39" s="9" t="s">
        <v>615</v>
      </c>
      <c r="B39" s="29">
        <f>+('Modello CE'!C216+'Modello CE'!C217+'Modello CE'!C218+'Modello CE'!C219)*-1</f>
        <v>4052272.5776208364</v>
      </c>
    </row>
    <row r="40" spans="1:2" s="4" customFormat="1" x14ac:dyDescent="0.2">
      <c r="A40" s="9" t="s">
        <v>616</v>
      </c>
      <c r="B40" s="29">
        <f>+('Modello CE'!C221+'Modello CE'!C222+'Modello CE'!C223+'Modello CE'!C224)*-1</f>
        <v>7793856.3399999999</v>
      </c>
    </row>
    <row r="41" spans="1:2" s="4" customFormat="1" x14ac:dyDescent="0.2">
      <c r="A41" s="9" t="s">
        <v>617</v>
      </c>
      <c r="B41" s="29">
        <f>+('Modello CE'!C226+'Modello CE'!C227+'Modello CE'!C228+'Modello CE'!C230+'Modello CE'!C231+'Modello CE'!C232+'Modello CE'!C233+'Modello CE'!C234)*-1</f>
        <v>321397712.63</v>
      </c>
    </row>
    <row r="42" spans="1:2" s="4" customFormat="1" x14ac:dyDescent="0.2">
      <c r="A42" s="9" t="s">
        <v>618</v>
      </c>
      <c r="B42" s="29">
        <f>+('Modello CE'!C236+'Modello CE'!C237+'Modello CE'!C238+'Modello CE'!C239+'Modello CE'!C240)*-1</f>
        <v>23071819</v>
      </c>
    </row>
    <row r="43" spans="1:2" s="4" customFormat="1" x14ac:dyDescent="0.2">
      <c r="A43" s="9" t="s">
        <v>619</v>
      </c>
      <c r="B43" s="29">
        <f>+('Modello CE'!C242+'Modello CE'!C243+'Modello CE'!C244+'Modello CE'!C245+'Modello CE'!C246+'Modello CE'!C247)*-1</f>
        <v>26246436.02</v>
      </c>
    </row>
    <row r="44" spans="1:2" s="4" customFormat="1" x14ac:dyDescent="0.2">
      <c r="A44" s="9" t="s">
        <v>620</v>
      </c>
      <c r="B44" s="29">
        <f>+('Modello CE'!C249+'Modello CE'!C250+'Modello CE'!C251+'Modello CE'!C252+'Modello CE'!C253)*-1</f>
        <v>1565064</v>
      </c>
    </row>
    <row r="45" spans="1:2" s="4" customFormat="1" x14ac:dyDescent="0.2">
      <c r="A45" s="9" t="s">
        <v>621</v>
      </c>
      <c r="B45" s="29">
        <f>+('Modello CE'!C255+'Modello CE'!C256+'Modello CE'!C257+'Modello CE'!C258)*-1</f>
        <v>7297630</v>
      </c>
    </row>
    <row r="46" spans="1:2" s="4" customFormat="1" x14ac:dyDescent="0.2">
      <c r="A46" s="9" t="s">
        <v>622</v>
      </c>
      <c r="B46" s="29">
        <f>+('Modello CE'!C260+'Modello CE'!C263+'Modello CE'!C265+'Modello CE'!C266+'Modello CE'!C267)*-1</f>
        <v>89692382.004999995</v>
      </c>
    </row>
    <row r="47" spans="1:2" s="4" customFormat="1" x14ac:dyDescent="0.2">
      <c r="A47" s="9" t="s">
        <v>623</v>
      </c>
      <c r="B47" s="29">
        <f>+('Modello CE'!C269+'Modello CE'!C270+'Modello CE'!C271+'Modello CE'!C272+'Modello CE'!C273+'Modello CE'!C274+'Modello CE'!C275)*-1</f>
        <v>4698333</v>
      </c>
    </row>
    <row r="48" spans="1:2" s="4" customFormat="1" x14ac:dyDescent="0.2">
      <c r="A48" s="9" t="s">
        <v>624</v>
      </c>
      <c r="B48" s="29">
        <f>+('Modello CE'!C277+'Modello CE'!C278+'Modello CE'!C279+'Modello CE'!C280+'Modello CE'!C281+'Modello CE'!C282)*-1</f>
        <v>11379859.09</v>
      </c>
    </row>
    <row r="49" spans="1:2" s="4" customFormat="1" x14ac:dyDescent="0.2">
      <c r="A49" s="10" t="s">
        <v>625</v>
      </c>
      <c r="B49" s="29">
        <f>+('Modello CE'!C285+'Modello CE'!C286+'Modello CE'!C288+'Modello CE'!C289+'Modello CE'!C290+'Modello CE'!C291+'Modello CE'!C292+'Modello CE'!C293+'Modello CE'!C295+'Modello CE'!C296+'Modello CE'!C297)*-1</f>
        <v>12328399.619999999</v>
      </c>
    </row>
    <row r="50" spans="1:2" s="4" customFormat="1" x14ac:dyDescent="0.2">
      <c r="A50" s="10" t="s">
        <v>626</v>
      </c>
      <c r="B50" s="29">
        <f>+('Modello CE'!C299+'Modello CE'!C300+'Modello CE'!C301+'Modello CE'!C302+'Modello CE'!C303)*-1</f>
        <v>35520222.240000002</v>
      </c>
    </row>
    <row r="51" spans="1:2" s="4" customFormat="1" x14ac:dyDescent="0.2">
      <c r="A51" s="10" t="s">
        <v>627</v>
      </c>
      <c r="B51" s="29">
        <f>+('Modello CE'!C306)*-1</f>
        <v>0</v>
      </c>
    </row>
    <row r="52" spans="1:2" s="4" customFormat="1" x14ac:dyDescent="0.2">
      <c r="A52" s="13" t="s">
        <v>628</v>
      </c>
      <c r="B52" s="30">
        <f>SUM(B53:B55)</f>
        <v>71216843.741816252</v>
      </c>
    </row>
    <row r="53" spans="1:2" s="4" customFormat="1" x14ac:dyDescent="0.2">
      <c r="A53" s="10" t="s">
        <v>629</v>
      </c>
      <c r="B53" s="29">
        <f>+('Modello CE'!C309+'Modello CE'!C310+'Modello CE'!C311+'Modello CE'!C314+'Modello CE'!C315+'Modello CE'!C316+'Modello CE'!C317+'Modello CE'!C318+'Modello CE'!C319+'Modello CE'!C320+'Modello CE'!C322+'Modello CE'!C323+'Modello CE'!C325+'Modello CE'!C326+'Modello CE'!C327)*-1</f>
        <v>68943324.881816253</v>
      </c>
    </row>
    <row r="54" spans="1:2" s="4" customFormat="1" x14ac:dyDescent="0.2">
      <c r="A54" s="10" t="s">
        <v>1129</v>
      </c>
      <c r="B54" s="29">
        <f>+('Modello CE'!C329+'Modello CE'!C330+'Modello CE'!C332+'Modello CE'!C333+'Modello CE'!C334+'Modello CE'!C335+'Modello CE'!C336+'Modello CE'!C339+'Modello CE'!C340+'Modello CE'!C341)*-1</f>
        <v>1848518.8599999999</v>
      </c>
    </row>
    <row r="55" spans="1:2" s="4" customFormat="1" x14ac:dyDescent="0.2">
      <c r="A55" s="10" t="s">
        <v>630</v>
      </c>
      <c r="B55" s="29">
        <f>+('Modello CE'!C343+'Modello CE'!C344)*-1</f>
        <v>425000</v>
      </c>
    </row>
    <row r="56" spans="1:2" s="4" customFormat="1" x14ac:dyDescent="0.2">
      <c r="A56" s="13" t="s">
        <v>631</v>
      </c>
      <c r="B56" s="30">
        <f>+('Modello CE'!C346+'Modello CE'!C347+'Modello CE'!C348+'Modello CE'!C349+'Modello CE'!C350+'Modello CE'!C351+'Modello CE'!C352)*-1</f>
        <v>14791666.98</v>
      </c>
    </row>
    <row r="57" spans="1:2" s="3" customFormat="1" x14ac:dyDescent="0.2">
      <c r="A57" s="13" t="s">
        <v>632</v>
      </c>
      <c r="B57" s="30">
        <f>+('Modello CE'!C354+'Modello CE'!C356+'Modello CE'!C357+'Modello CE'!C359+'Modello CE'!C360+'Modello CE'!C362)*-1</f>
        <v>6572700</v>
      </c>
    </row>
    <row r="58" spans="1:2" s="3" customFormat="1" x14ac:dyDescent="0.2">
      <c r="A58" s="13" t="s">
        <v>633</v>
      </c>
      <c r="B58" s="30">
        <f>SUM(B59:B63)</f>
        <v>259684809.79288375</v>
      </c>
    </row>
    <row r="59" spans="1:2" s="4" customFormat="1" x14ac:dyDescent="0.2">
      <c r="A59" s="9" t="s">
        <v>634</v>
      </c>
      <c r="B59" s="29">
        <f>+('Modello CE'!C367+'Modello CE'!C368+'Modello CE'!C369)*-1</f>
        <v>79827991.815555483</v>
      </c>
    </row>
    <row r="60" spans="1:2" s="4" customFormat="1" x14ac:dyDescent="0.2">
      <c r="A60" s="9" t="s">
        <v>635</v>
      </c>
      <c r="B60" s="29">
        <f>+('Modello CE'!C371+'Modello CE'!C372+'Modello CE'!C373)*-1</f>
        <v>12929229.743098816</v>
      </c>
    </row>
    <row r="61" spans="1:2" s="4" customFormat="1" x14ac:dyDescent="0.2">
      <c r="A61" s="9" t="s">
        <v>636</v>
      </c>
      <c r="B61" s="29">
        <f>+('Modello CE'!C375+'Modello CE'!C376+'Modello CE'!C377)*-1</f>
        <v>114385004.13939084</v>
      </c>
    </row>
    <row r="62" spans="1:2" s="4" customFormat="1" x14ac:dyDescent="0.2">
      <c r="A62" s="9" t="s">
        <v>637</v>
      </c>
      <c r="B62" s="29">
        <f>+('Modello CE'!C380+'Modello CE'!C381+'Modello CE'!C382+'Modello CE'!C389+'Modello CE'!C390+'Modello CE'!C391+'Modello CE'!C398+'Modello CE'!C399+'Modello CE'!C400)*-1</f>
        <v>5068619.0526666408</v>
      </c>
    </row>
    <row r="63" spans="1:2" s="4" customFormat="1" x14ac:dyDescent="0.2">
      <c r="A63" s="9" t="s">
        <v>638</v>
      </c>
      <c r="B63" s="29">
        <f>+('Modello CE'!C384+'Modello CE'!C385+'Modello CE'!C386+'Modello CE'!C393+'Modello CE'!C394+'Modello CE'!C395+'Modello CE'!C402+'Modello CE'!C403+'Modello CE'!C404)*-1</f>
        <v>47473965.042172</v>
      </c>
    </row>
    <row r="64" spans="1:2" s="4" customFormat="1" x14ac:dyDescent="0.2">
      <c r="A64" s="13" t="s">
        <v>639</v>
      </c>
      <c r="B64" s="29">
        <f>+('Modello CE'!C406+'Modello CE'!C407+'Modello CE'!C409+'Modello CE'!C410)*-1</f>
        <v>19704226.82</v>
      </c>
    </row>
    <row r="65" spans="1:2" s="3" customFormat="1" x14ac:dyDescent="0.2">
      <c r="A65" s="13" t="s">
        <v>640</v>
      </c>
      <c r="B65" s="30">
        <f>SUM(B66:B68)</f>
        <v>17771776</v>
      </c>
    </row>
    <row r="66" spans="1:2" s="4" customFormat="1" x14ac:dyDescent="0.2">
      <c r="A66" s="9" t="s">
        <v>641</v>
      </c>
      <c r="B66" s="29">
        <f>+('Modello CE'!C414)*-1</f>
        <v>2000000</v>
      </c>
    </row>
    <row r="67" spans="1:2" s="3" customFormat="1" x14ac:dyDescent="0.2">
      <c r="A67" s="9" t="s">
        <v>642</v>
      </c>
      <c r="B67" s="30">
        <f>+('Modello CE'!C417+'Modello CE'!C418)*-1</f>
        <v>9461776</v>
      </c>
    </row>
    <row r="68" spans="1:2" s="3" customFormat="1" x14ac:dyDescent="0.2">
      <c r="A68" s="9" t="s">
        <v>643</v>
      </c>
      <c r="B68" s="30">
        <f>+('Modello CE'!C419)*-1</f>
        <v>6310000</v>
      </c>
    </row>
    <row r="69" spans="1:2" s="3" customFormat="1" x14ac:dyDescent="0.2">
      <c r="A69" s="13" t="s">
        <v>644</v>
      </c>
      <c r="B69" s="30">
        <f>+('Modello CE'!C421+'Modello CE'!C422)*-1</f>
        <v>500000</v>
      </c>
    </row>
    <row r="70" spans="1:2" s="3" customFormat="1" x14ac:dyDescent="0.2">
      <c r="A70" s="13" t="s">
        <v>645</v>
      </c>
      <c r="B70" s="30">
        <f>SUM(B71:B72)</f>
        <v>0</v>
      </c>
    </row>
    <row r="71" spans="1:2" s="4" customFormat="1" x14ac:dyDescent="0.2">
      <c r="A71" s="10" t="s">
        <v>646</v>
      </c>
      <c r="B71" s="29">
        <f>+'Modello CE'!C424*-1</f>
        <v>0</v>
      </c>
    </row>
    <row r="72" spans="1:2" s="4" customFormat="1" x14ac:dyDescent="0.2">
      <c r="A72" s="10" t="s">
        <v>647</v>
      </c>
      <c r="B72" s="29">
        <f>+'Modello CE'!C433*-1</f>
        <v>0</v>
      </c>
    </row>
    <row r="73" spans="1:2" s="3" customFormat="1" x14ac:dyDescent="0.2">
      <c r="A73" s="13" t="s">
        <v>648</v>
      </c>
      <c r="B73" s="30" t="e">
        <f>SUM(B74:B77)</f>
        <v>#REF!</v>
      </c>
    </row>
    <row r="74" spans="1:2" s="4" customFormat="1" x14ac:dyDescent="0.2">
      <c r="A74" s="10" t="s">
        <v>649</v>
      </c>
      <c r="B74" s="29">
        <f>+('Modello CE'!C442+'Modello CE'!C443+'Modello CE'!C444+'Modello CE'!C445+'Modello CE'!C447)*-1</f>
        <v>1337877</v>
      </c>
    </row>
    <row r="75" spans="1:2" s="4" customFormat="1" x14ac:dyDescent="0.2">
      <c r="A75" s="10" t="s">
        <v>650</v>
      </c>
      <c r="B75" s="29">
        <f>+('Modello CE'!C449)*-1</f>
        <v>998963</v>
      </c>
    </row>
    <row r="76" spans="1:2" s="4" customFormat="1" x14ac:dyDescent="0.2">
      <c r="A76" s="10" t="s">
        <v>651</v>
      </c>
      <c r="B76" s="29">
        <f>+('Modello CE'!C452+'Modello CE'!C453+'Modello CE'!C454+'Modello CE'!C455)*-1</f>
        <v>1780881</v>
      </c>
    </row>
    <row r="77" spans="1:2" s="4" customFormat="1" x14ac:dyDescent="0.2">
      <c r="A77" s="10" t="s">
        <v>652</v>
      </c>
      <c r="B77" s="29" t="e">
        <f>+('Modello CE'!#REF!+'Modello CE'!C458+'Modello CE'!C459+'Modello CE'!C460+'Modello CE'!C461+'Modello CE'!C462+'Modello CE'!C467)*-1</f>
        <v>#REF!</v>
      </c>
    </row>
    <row r="78" spans="1:2" s="3" customFormat="1" x14ac:dyDescent="0.2">
      <c r="A78" s="14" t="s">
        <v>266</v>
      </c>
      <c r="B78" s="30" t="e">
        <f>B31+B34+B52+B56+B57+B58+B64+B65+B69+B70+B73</f>
        <v>#REF!</v>
      </c>
    </row>
    <row r="79" spans="1:2" s="4" customFormat="1" x14ac:dyDescent="0.2">
      <c r="A79" s="15"/>
      <c r="B79" s="29"/>
    </row>
    <row r="80" spans="1:2" s="6" customFormat="1" x14ac:dyDescent="0.2">
      <c r="A80" s="13" t="s">
        <v>653</v>
      </c>
      <c r="B80" s="30" t="e">
        <f>B28-B78</f>
        <v>#REF!</v>
      </c>
    </row>
    <row r="81" spans="1:2" s="6" customFormat="1" x14ac:dyDescent="0.2">
      <c r="A81" s="16"/>
      <c r="B81" s="30"/>
    </row>
    <row r="82" spans="1:2" s="3" customFormat="1" x14ac:dyDescent="0.2">
      <c r="A82" s="16" t="s">
        <v>654</v>
      </c>
      <c r="B82" s="30"/>
    </row>
    <row r="83" spans="1:2" s="3" customFormat="1" x14ac:dyDescent="0.2">
      <c r="A83" s="16" t="s">
        <v>655</v>
      </c>
      <c r="B83" s="30">
        <f>+'Modello CE'!C471+'Modello CE'!C472+'Modello CE'!C473+'Modello CE'!C475+'Modello CE'!C476+'Modello CE'!C477+'Modello CE'!C478+'Modello CE'!C479</f>
        <v>0</v>
      </c>
    </row>
    <row r="84" spans="1:2" s="3" customFormat="1" x14ac:dyDescent="0.2">
      <c r="A84" s="16" t="s">
        <v>656</v>
      </c>
      <c r="B84" s="30">
        <f>+('Modello CE'!C481+'Modello CE'!C482+'Modello CE'!C483+'Modello CE'!C485+'Modello CE'!C486)*-1</f>
        <v>1415600</v>
      </c>
    </row>
    <row r="85" spans="1:2" s="3" customFormat="1" x14ac:dyDescent="0.2">
      <c r="A85" s="14" t="s">
        <v>267</v>
      </c>
      <c r="B85" s="30">
        <f>+B83-B84</f>
        <v>-1415600</v>
      </c>
    </row>
    <row r="86" spans="1:2" s="4" customFormat="1" x14ac:dyDescent="0.2">
      <c r="A86" s="15"/>
      <c r="B86" s="29"/>
    </row>
    <row r="87" spans="1:2" s="3" customFormat="1" x14ac:dyDescent="0.2">
      <c r="A87" s="16" t="s">
        <v>657</v>
      </c>
      <c r="B87" s="30"/>
    </row>
    <row r="88" spans="1:2" s="3" customFormat="1" x14ac:dyDescent="0.2">
      <c r="A88" s="17" t="s">
        <v>658</v>
      </c>
      <c r="B88" s="30">
        <f>+'Modello CE'!C489</f>
        <v>0</v>
      </c>
    </row>
    <row r="89" spans="1:2" s="3" customFormat="1" x14ac:dyDescent="0.2">
      <c r="A89" s="17" t="s">
        <v>659</v>
      </c>
      <c r="B89" s="30">
        <f>+('Modello CE'!C490)*-1</f>
        <v>0</v>
      </c>
    </row>
    <row r="90" spans="1:2" s="3" customFormat="1" x14ac:dyDescent="0.2">
      <c r="A90" s="14" t="s">
        <v>913</v>
      </c>
      <c r="B90" s="30">
        <f>B88-B89</f>
        <v>0</v>
      </c>
    </row>
    <row r="91" spans="1:2" s="4" customFormat="1" x14ac:dyDescent="0.2">
      <c r="A91" s="15"/>
      <c r="B91" s="29"/>
    </row>
    <row r="92" spans="1:2" s="3" customFormat="1" x14ac:dyDescent="0.2">
      <c r="A92" s="16" t="s">
        <v>660</v>
      </c>
      <c r="B92" s="30"/>
    </row>
    <row r="93" spans="1:2" s="3" customFormat="1" x14ac:dyDescent="0.2">
      <c r="A93" s="13" t="s">
        <v>897</v>
      </c>
      <c r="B93" s="30">
        <f>SUM(B94:B95)</f>
        <v>2144942.0800000001</v>
      </c>
    </row>
    <row r="94" spans="1:2" s="4" customFormat="1" x14ac:dyDescent="0.2">
      <c r="A94" s="10" t="s">
        <v>661</v>
      </c>
      <c r="B94" s="29">
        <f>+'Modello CE'!C494</f>
        <v>0</v>
      </c>
    </row>
    <row r="95" spans="1:2" s="4" customFormat="1" x14ac:dyDescent="0.2">
      <c r="A95" s="10" t="s">
        <v>662</v>
      </c>
      <c r="B95" s="29">
        <f>+'Modello CE'!C496+'Modello CE'!C499+'Modello CE'!C501+'Modello CE'!C502+'Modello CE'!C503+'Modello CE'!C504+'Modello CE'!C505+'Modello CE'!C506+'Modello CE'!C507+'Modello CE'!C509+'Modello CE'!C511+'Modello CE'!C512+'Modello CE'!C513+'Modello CE'!C514+'Modello CE'!C515+'Modello CE'!C516+'Modello CE'!C517+'Modello CE'!C518</f>
        <v>2144942.0800000001</v>
      </c>
    </row>
    <row r="96" spans="1:2" s="3" customFormat="1" x14ac:dyDescent="0.2">
      <c r="A96" s="13" t="s">
        <v>918</v>
      </c>
      <c r="B96" s="30">
        <f>SUM(B97:B98)</f>
        <v>1151413.6000000001</v>
      </c>
    </row>
    <row r="97" spans="1:2" s="4" customFormat="1" x14ac:dyDescent="0.2">
      <c r="A97" s="10" t="s">
        <v>663</v>
      </c>
      <c r="B97" s="29">
        <f>+('Modello CE'!C520)*-1</f>
        <v>0</v>
      </c>
    </row>
    <row r="98" spans="1:2" s="4" customFormat="1" x14ac:dyDescent="0.2">
      <c r="A98" s="10" t="s">
        <v>664</v>
      </c>
      <c r="B98" s="29">
        <f>+('Modello CE'!C522+'Modello CE'!C523+'Modello CE'!C526+'Modello CE'!C527+'Modello CE'!C529+'Modello CE'!C531+'Modello CE'!C532+'Modello CE'!C533+'Modello CE'!C534+'Modello CE'!C535+'Modello CE'!C536+'Modello CE'!C537+'Modello CE'!C538+'Modello CE'!C541+'Modello CE'!C543+'Modello CE'!C544+'Modello CE'!C545+'Modello CE'!C546+'Modello CE'!C547+'Modello CE'!C548+'Modello CE'!C549+'Modello CE'!C550)*-1</f>
        <v>1151413.6000000001</v>
      </c>
    </row>
    <row r="99" spans="1:2" s="3" customFormat="1" x14ac:dyDescent="0.2">
      <c r="A99" s="14" t="s">
        <v>914</v>
      </c>
      <c r="B99" s="30">
        <f>B93-B96</f>
        <v>993528.48</v>
      </c>
    </row>
    <row r="100" spans="1:2" s="4" customFormat="1" x14ac:dyDescent="0.2">
      <c r="A100" s="15"/>
      <c r="B100" s="29"/>
    </row>
    <row r="101" spans="1:2" s="6" customFormat="1" x14ac:dyDescent="0.2">
      <c r="A101" s="18" t="s">
        <v>665</v>
      </c>
      <c r="B101" s="30" t="e">
        <f>B80+B85+B90+B99</f>
        <v>#REF!</v>
      </c>
    </row>
    <row r="102" spans="1:2" s="6" customFormat="1" x14ac:dyDescent="0.2">
      <c r="A102" s="16"/>
      <c r="B102" s="30"/>
    </row>
    <row r="103" spans="1:2" s="3" customFormat="1" x14ac:dyDescent="0.2">
      <c r="A103" s="16" t="s">
        <v>666</v>
      </c>
      <c r="B103" s="30"/>
    </row>
    <row r="104" spans="1:2" s="3" customFormat="1" x14ac:dyDescent="0.2">
      <c r="A104" s="13" t="s">
        <v>938</v>
      </c>
      <c r="B104" s="30">
        <f>SUM(B105:B108)</f>
        <v>19911085.510000002</v>
      </c>
    </row>
    <row r="105" spans="1:2" s="4" customFormat="1" x14ac:dyDescent="0.2">
      <c r="A105" s="10" t="s">
        <v>667</v>
      </c>
      <c r="B105" s="29">
        <f>+('Modello CE'!C555)*-1</f>
        <v>17510789.970000003</v>
      </c>
    </row>
    <row r="106" spans="1:2" s="4" customFormat="1" x14ac:dyDescent="0.2">
      <c r="A106" s="10" t="s">
        <v>668</v>
      </c>
      <c r="B106" s="29">
        <f>+'Modello CE'!C556*-1</f>
        <v>2130295.54</v>
      </c>
    </row>
    <row r="107" spans="1:2" s="4" customFormat="1" x14ac:dyDescent="0.2">
      <c r="A107" s="10" t="s">
        <v>669</v>
      </c>
      <c r="B107" s="29">
        <f>+'Modello CE'!C557*-1</f>
        <v>270000</v>
      </c>
    </row>
    <row r="108" spans="1:2" s="4" customFormat="1" x14ac:dyDescent="0.2">
      <c r="A108" s="10" t="s">
        <v>670</v>
      </c>
      <c r="B108" s="29">
        <f>+'Modello CE'!C558*-1</f>
        <v>0</v>
      </c>
    </row>
    <row r="109" spans="1:2" s="3" customFormat="1" x14ac:dyDescent="0.2">
      <c r="A109" s="13" t="s">
        <v>942</v>
      </c>
      <c r="B109" s="30">
        <f>+('Modello CE'!C560+'Modello CE'!C561)*-1</f>
        <v>277195.40000000002</v>
      </c>
    </row>
    <row r="110" spans="1:2" s="3" customFormat="1" x14ac:dyDescent="0.2">
      <c r="A110" s="13" t="s">
        <v>671</v>
      </c>
      <c r="B110" s="30">
        <f>+'Modello CE'!C562*-1</f>
        <v>200000</v>
      </c>
    </row>
    <row r="111" spans="1:2" s="3" customFormat="1" x14ac:dyDescent="0.2">
      <c r="A111" s="19" t="s">
        <v>915</v>
      </c>
      <c r="B111" s="31">
        <f>B104+B109+B110</f>
        <v>20388280.91</v>
      </c>
    </row>
    <row r="112" spans="1:2" s="6" customFormat="1" x14ac:dyDescent="0.2">
      <c r="A112" s="20" t="s">
        <v>672</v>
      </c>
      <c r="B112" s="32" t="e">
        <f>B101-B111</f>
        <v>#REF!</v>
      </c>
    </row>
    <row r="113" spans="2:2" s="4" customFormat="1" x14ac:dyDescent="0.2">
      <c r="B113" s="33"/>
    </row>
    <row r="114" spans="2:2" x14ac:dyDescent="0.2">
      <c r="B114" s="34"/>
    </row>
    <row r="115" spans="2:2" x14ac:dyDescent="0.2">
      <c r="B115" s="35"/>
    </row>
    <row r="116" spans="2:2" x14ac:dyDescent="0.2">
      <c r="B116" s="35"/>
    </row>
    <row r="117" spans="2:2" x14ac:dyDescent="0.2">
      <c r="B117" s="35"/>
    </row>
    <row r="118" spans="2:2" x14ac:dyDescent="0.2">
      <c r="B118" s="35"/>
    </row>
    <row r="119" spans="2:2" x14ac:dyDescent="0.2">
      <c r="B119" s="35"/>
    </row>
    <row r="120" spans="2:2" x14ac:dyDescent="0.2">
      <c r="B120" s="35"/>
    </row>
    <row r="121" spans="2:2" x14ac:dyDescent="0.2">
      <c r="B121" s="35"/>
    </row>
    <row r="122" spans="2:2" x14ac:dyDescent="0.2">
      <c r="B122" s="35"/>
    </row>
    <row r="123" spans="2:2" x14ac:dyDescent="0.2">
      <c r="B123" s="35"/>
    </row>
    <row r="124" spans="2:2" x14ac:dyDescent="0.2">
      <c r="B124" s="35"/>
    </row>
    <row r="125" spans="2:2" x14ac:dyDescent="0.2">
      <c r="B125" s="35"/>
    </row>
    <row r="134" spans="2:2" s="8" customFormat="1" x14ac:dyDescent="0.2">
      <c r="B134" s="36"/>
    </row>
    <row r="135" spans="2:2" s="8" customFormat="1" x14ac:dyDescent="0.2">
      <c r="B135" s="36"/>
    </row>
    <row r="136" spans="2:2" s="8" customFormat="1" x14ac:dyDescent="0.2">
      <c r="B136" s="36"/>
    </row>
    <row r="137" spans="2:2" s="8" customFormat="1" x14ac:dyDescent="0.2">
      <c r="B137" s="36"/>
    </row>
    <row r="138" spans="2:2" s="8" customFormat="1" x14ac:dyDescent="0.2">
      <c r="B138" s="36"/>
    </row>
    <row r="139" spans="2:2" s="8" customFormat="1" x14ac:dyDescent="0.2">
      <c r="B139" s="36"/>
    </row>
    <row r="140" spans="2:2" s="8" customFormat="1" x14ac:dyDescent="0.2">
      <c r="B140" s="36"/>
    </row>
    <row r="141" spans="2:2" s="8" customFormat="1" x14ac:dyDescent="0.2">
      <c r="B141" s="36"/>
    </row>
    <row r="142" spans="2:2" s="8" customFormat="1" x14ac:dyDescent="0.2">
      <c r="B142" s="36"/>
    </row>
    <row r="143" spans="2:2" s="8" customFormat="1" x14ac:dyDescent="0.2">
      <c r="B143" s="36"/>
    </row>
    <row r="144" spans="2:2" s="8" customFormat="1" x14ac:dyDescent="0.2">
      <c r="B144" s="36"/>
    </row>
    <row r="145" spans="2:2" s="8" customFormat="1" x14ac:dyDescent="0.2">
      <c r="B145" s="36"/>
    </row>
    <row r="146" spans="2:2" s="8" customFormat="1" x14ac:dyDescent="0.2">
      <c r="B146" s="36"/>
    </row>
    <row r="147" spans="2:2" s="8" customFormat="1" x14ac:dyDescent="0.2">
      <c r="B147" s="36"/>
    </row>
    <row r="148" spans="2:2" s="8" customFormat="1" x14ac:dyDescent="0.2">
      <c r="B148" s="36"/>
    </row>
    <row r="149" spans="2:2" s="8" customFormat="1" x14ac:dyDescent="0.2">
      <c r="B149" s="36"/>
    </row>
    <row r="150" spans="2:2" s="8" customFormat="1" x14ac:dyDescent="0.2">
      <c r="B150" s="36"/>
    </row>
    <row r="151" spans="2:2" s="8" customFormat="1" x14ac:dyDescent="0.2">
      <c r="B151" s="36"/>
    </row>
    <row r="152" spans="2:2" s="8" customFormat="1" x14ac:dyDescent="0.2">
      <c r="B152" s="36"/>
    </row>
    <row r="153" spans="2:2" s="8" customFormat="1" x14ac:dyDescent="0.2">
      <c r="B153" s="36"/>
    </row>
    <row r="154" spans="2:2" s="8" customFormat="1" x14ac:dyDescent="0.2">
      <c r="B154" s="36"/>
    </row>
    <row r="155" spans="2:2" s="8" customFormat="1" x14ac:dyDescent="0.2">
      <c r="B155" s="36"/>
    </row>
    <row r="156" spans="2:2" s="8" customFormat="1" x14ac:dyDescent="0.2">
      <c r="B156" s="36"/>
    </row>
    <row r="157" spans="2:2" s="8" customFormat="1" x14ac:dyDescent="0.2">
      <c r="B157" s="36"/>
    </row>
    <row r="158" spans="2:2" s="8" customFormat="1" x14ac:dyDescent="0.2">
      <c r="B158" s="36"/>
    </row>
    <row r="159" spans="2:2" s="8" customFormat="1" x14ac:dyDescent="0.2">
      <c r="B159" s="36"/>
    </row>
    <row r="160" spans="2:2" s="8" customFormat="1" x14ac:dyDescent="0.2">
      <c r="B160" s="36"/>
    </row>
    <row r="161" spans="2:2" s="8" customFormat="1" x14ac:dyDescent="0.2">
      <c r="B161" s="36"/>
    </row>
    <row r="162" spans="2:2" s="8" customFormat="1" x14ac:dyDescent="0.2">
      <c r="B162" s="36"/>
    </row>
    <row r="163" spans="2:2" s="8" customFormat="1" x14ac:dyDescent="0.2">
      <c r="B163" s="36"/>
    </row>
    <row r="164" spans="2:2" s="8" customFormat="1" x14ac:dyDescent="0.2">
      <c r="B164" s="36"/>
    </row>
    <row r="165" spans="2:2" s="8" customFormat="1" x14ac:dyDescent="0.2">
      <c r="B165" s="36"/>
    </row>
    <row r="166" spans="2:2" s="8" customFormat="1" x14ac:dyDescent="0.2">
      <c r="B166" s="36"/>
    </row>
    <row r="167" spans="2:2" s="8" customFormat="1" x14ac:dyDescent="0.2">
      <c r="B167" s="36"/>
    </row>
    <row r="168" spans="2:2" s="8" customFormat="1" x14ac:dyDescent="0.2">
      <c r="B168" s="36"/>
    </row>
    <row r="169" spans="2:2" s="8" customFormat="1" x14ac:dyDescent="0.2">
      <c r="B169" s="36"/>
    </row>
    <row r="170" spans="2:2" s="8" customFormat="1" x14ac:dyDescent="0.2">
      <c r="B170" s="36"/>
    </row>
    <row r="171" spans="2:2" s="8" customFormat="1" x14ac:dyDescent="0.2">
      <c r="B171" s="36"/>
    </row>
    <row r="172" spans="2:2" s="8" customFormat="1" x14ac:dyDescent="0.2">
      <c r="B172" s="36"/>
    </row>
    <row r="173" spans="2:2" s="8" customFormat="1" x14ac:dyDescent="0.2">
      <c r="B173" s="36"/>
    </row>
    <row r="174" spans="2:2" s="8" customFormat="1" x14ac:dyDescent="0.2">
      <c r="B174" s="36"/>
    </row>
    <row r="175" spans="2:2" s="8" customFormat="1" x14ac:dyDescent="0.2">
      <c r="B175" s="36"/>
    </row>
    <row r="176" spans="2:2" s="8" customFormat="1" x14ac:dyDescent="0.2">
      <c r="B176" s="36"/>
    </row>
    <row r="177" spans="2:2" s="8" customFormat="1" x14ac:dyDescent="0.2">
      <c r="B177" s="36"/>
    </row>
    <row r="178" spans="2:2" s="8" customFormat="1" x14ac:dyDescent="0.2">
      <c r="B178" s="36"/>
    </row>
    <row r="179" spans="2:2" s="8" customFormat="1" x14ac:dyDescent="0.2">
      <c r="B179" s="36"/>
    </row>
    <row r="180" spans="2:2" s="8" customFormat="1" x14ac:dyDescent="0.2">
      <c r="B180" s="36"/>
    </row>
    <row r="181" spans="2:2" s="8" customFormat="1" x14ac:dyDescent="0.2">
      <c r="B181" s="36"/>
    </row>
    <row r="182" spans="2:2" s="8" customFormat="1" x14ac:dyDescent="0.2">
      <c r="B182" s="36"/>
    </row>
    <row r="183" spans="2:2" s="8" customFormat="1" x14ac:dyDescent="0.2">
      <c r="B183" s="36"/>
    </row>
    <row r="184" spans="2:2" s="8" customFormat="1" x14ac:dyDescent="0.2">
      <c r="B184" s="36"/>
    </row>
    <row r="185" spans="2:2" s="8" customFormat="1" x14ac:dyDescent="0.2">
      <c r="B185" s="36"/>
    </row>
    <row r="186" spans="2:2" s="8" customFormat="1" x14ac:dyDescent="0.2">
      <c r="B186" s="36"/>
    </row>
    <row r="187" spans="2:2" s="8" customFormat="1" x14ac:dyDescent="0.2">
      <c r="B187" s="36"/>
    </row>
    <row r="188" spans="2:2" s="8" customFormat="1" x14ac:dyDescent="0.2">
      <c r="B188" s="36"/>
    </row>
    <row r="189" spans="2:2" s="8" customFormat="1" x14ac:dyDescent="0.2">
      <c r="B189" s="36"/>
    </row>
    <row r="190" spans="2:2" s="8" customFormat="1" x14ac:dyDescent="0.2">
      <c r="B190" s="36"/>
    </row>
    <row r="191" spans="2:2" s="8" customFormat="1" x14ac:dyDescent="0.2">
      <c r="B191" s="36"/>
    </row>
    <row r="192" spans="2:2" s="8" customFormat="1" x14ac:dyDescent="0.2">
      <c r="B192" s="36"/>
    </row>
    <row r="193" spans="2:2" s="8" customFormat="1" x14ac:dyDescent="0.2">
      <c r="B193" s="36"/>
    </row>
    <row r="194" spans="2:2" s="8" customFormat="1" x14ac:dyDescent="0.2">
      <c r="B194" s="36"/>
    </row>
    <row r="195" spans="2:2" s="8" customFormat="1" x14ac:dyDescent="0.2">
      <c r="B195" s="36"/>
    </row>
    <row r="196" spans="2:2" s="8" customFormat="1" x14ac:dyDescent="0.2">
      <c r="B196" s="36"/>
    </row>
    <row r="197" spans="2:2" s="8" customFormat="1" x14ac:dyDescent="0.2">
      <c r="B197" s="36"/>
    </row>
    <row r="198" spans="2:2" s="8" customFormat="1" x14ac:dyDescent="0.2">
      <c r="B198" s="36"/>
    </row>
    <row r="199" spans="2:2" s="8" customFormat="1" x14ac:dyDescent="0.2">
      <c r="B199" s="36"/>
    </row>
    <row r="200" spans="2:2" s="8" customFormat="1" x14ac:dyDescent="0.2">
      <c r="B200" s="36"/>
    </row>
    <row r="201" spans="2:2" s="8" customFormat="1" x14ac:dyDescent="0.2">
      <c r="B201" s="36"/>
    </row>
    <row r="202" spans="2:2" s="8" customFormat="1" x14ac:dyDescent="0.2">
      <c r="B202" s="36"/>
    </row>
    <row r="203" spans="2:2" s="8" customFormat="1" x14ac:dyDescent="0.2">
      <c r="B203" s="36"/>
    </row>
    <row r="204" spans="2:2" s="8" customFormat="1" x14ac:dyDescent="0.2">
      <c r="B204" s="36"/>
    </row>
    <row r="205" spans="2:2" s="8" customFormat="1" x14ac:dyDescent="0.2">
      <c r="B205" s="36"/>
    </row>
    <row r="206" spans="2:2" s="8" customFormat="1" x14ac:dyDescent="0.2">
      <c r="B206" s="36"/>
    </row>
    <row r="207" spans="2:2" s="8" customFormat="1" x14ac:dyDescent="0.2">
      <c r="B207" s="36"/>
    </row>
    <row r="208" spans="2:2" s="8" customFormat="1" x14ac:dyDescent="0.2">
      <c r="B208" s="36"/>
    </row>
    <row r="209" spans="2:2" s="8" customFormat="1" x14ac:dyDescent="0.2">
      <c r="B209" s="36"/>
    </row>
    <row r="210" spans="2:2" s="8" customFormat="1" x14ac:dyDescent="0.2">
      <c r="B210" s="36"/>
    </row>
    <row r="211" spans="2:2" s="8" customFormat="1" x14ac:dyDescent="0.2">
      <c r="B211" s="36"/>
    </row>
    <row r="212" spans="2:2" s="8" customFormat="1" x14ac:dyDescent="0.2">
      <c r="B212" s="36"/>
    </row>
    <row r="213" spans="2:2" s="8" customFormat="1" x14ac:dyDescent="0.2">
      <c r="B213" s="36"/>
    </row>
    <row r="214" spans="2:2" s="8" customFormat="1" x14ac:dyDescent="0.2">
      <c r="B214" s="36"/>
    </row>
    <row r="215" spans="2:2" s="8" customFormat="1" x14ac:dyDescent="0.2">
      <c r="B215" s="36"/>
    </row>
    <row r="216" spans="2:2" s="8" customFormat="1" x14ac:dyDescent="0.2">
      <c r="B216" s="36"/>
    </row>
    <row r="217" spans="2:2" s="8" customFormat="1" x14ac:dyDescent="0.2">
      <c r="B217" s="36"/>
    </row>
    <row r="218" spans="2:2" s="8" customFormat="1" x14ac:dyDescent="0.2">
      <c r="B218" s="36"/>
    </row>
    <row r="219" spans="2:2" s="8" customFormat="1" x14ac:dyDescent="0.2">
      <c r="B219" s="36"/>
    </row>
    <row r="220" spans="2:2" s="8" customFormat="1" x14ac:dyDescent="0.2">
      <c r="B220" s="36"/>
    </row>
    <row r="221" spans="2:2" s="8" customFormat="1" x14ac:dyDescent="0.2">
      <c r="B221" s="36"/>
    </row>
    <row r="222" spans="2:2" s="8" customFormat="1" x14ac:dyDescent="0.2">
      <c r="B222" s="36"/>
    </row>
    <row r="223" spans="2:2" s="8" customFormat="1" x14ac:dyDescent="0.2">
      <c r="B223" s="36"/>
    </row>
    <row r="224" spans="2:2" s="8" customFormat="1" x14ac:dyDescent="0.2">
      <c r="B224" s="36"/>
    </row>
    <row r="225" spans="2:2" s="8" customFormat="1" x14ac:dyDescent="0.2">
      <c r="B225" s="36"/>
    </row>
    <row r="226" spans="2:2" s="8" customFormat="1" x14ac:dyDescent="0.2">
      <c r="B226" s="36"/>
    </row>
    <row r="227" spans="2:2" s="8" customFormat="1" x14ac:dyDescent="0.2">
      <c r="B227" s="36"/>
    </row>
    <row r="228" spans="2:2" s="8" customFormat="1" x14ac:dyDescent="0.2">
      <c r="B228" s="36"/>
    </row>
    <row r="229" spans="2:2" s="8" customFormat="1" x14ac:dyDescent="0.2">
      <c r="B229" s="36"/>
    </row>
    <row r="230" spans="2:2" s="8" customFormat="1" x14ac:dyDescent="0.2">
      <c r="B230" s="36"/>
    </row>
    <row r="231" spans="2:2" s="8" customFormat="1" x14ac:dyDescent="0.2">
      <c r="B231" s="36"/>
    </row>
    <row r="232" spans="2:2" s="8" customFormat="1" x14ac:dyDescent="0.2">
      <c r="B232" s="36"/>
    </row>
    <row r="233" spans="2:2" s="8" customFormat="1" x14ac:dyDescent="0.2">
      <c r="B233" s="36"/>
    </row>
    <row r="234" spans="2:2" s="8" customFormat="1" x14ac:dyDescent="0.2">
      <c r="B234" s="36"/>
    </row>
    <row r="235" spans="2:2" s="8" customFormat="1" x14ac:dyDescent="0.2">
      <c r="B235" s="36"/>
    </row>
    <row r="236" spans="2:2" s="8" customFormat="1" x14ac:dyDescent="0.2">
      <c r="B236" s="36"/>
    </row>
    <row r="237" spans="2:2" s="8" customFormat="1" x14ac:dyDescent="0.2">
      <c r="B237" s="36"/>
    </row>
    <row r="238" spans="2:2" s="8" customFormat="1" x14ac:dyDescent="0.2">
      <c r="B238" s="36"/>
    </row>
    <row r="239" spans="2:2" s="8" customFormat="1" x14ac:dyDescent="0.2">
      <c r="B239" s="36"/>
    </row>
    <row r="240" spans="2:2" s="8" customFormat="1" x14ac:dyDescent="0.2">
      <c r="B240" s="36"/>
    </row>
    <row r="241" spans="2:2" s="8" customFormat="1" x14ac:dyDescent="0.2">
      <c r="B241" s="36"/>
    </row>
    <row r="242" spans="2:2" s="8" customFormat="1" x14ac:dyDescent="0.2">
      <c r="B242" s="36"/>
    </row>
    <row r="243" spans="2:2" s="8" customFormat="1" x14ac:dyDescent="0.2">
      <c r="B243" s="36"/>
    </row>
    <row r="244" spans="2:2" s="8" customFormat="1" x14ac:dyDescent="0.2">
      <c r="B244" s="36"/>
    </row>
    <row r="245" spans="2:2" s="8" customFormat="1" x14ac:dyDescent="0.2">
      <c r="B245" s="36"/>
    </row>
    <row r="246" spans="2:2" s="8" customFormat="1" x14ac:dyDescent="0.2">
      <c r="B246" s="36"/>
    </row>
    <row r="247" spans="2:2" s="8" customFormat="1" x14ac:dyDescent="0.2">
      <c r="B247" s="36"/>
    </row>
    <row r="248" spans="2:2" s="8" customFormat="1" x14ac:dyDescent="0.2">
      <c r="B248" s="36"/>
    </row>
    <row r="249" spans="2:2" s="8" customFormat="1" x14ac:dyDescent="0.2">
      <c r="B249" s="36"/>
    </row>
    <row r="250" spans="2:2" s="8" customFormat="1" x14ac:dyDescent="0.2">
      <c r="B250" s="36"/>
    </row>
    <row r="251" spans="2:2" s="8" customFormat="1" x14ac:dyDescent="0.2">
      <c r="B251" s="36"/>
    </row>
    <row r="252" spans="2:2" s="8" customFormat="1" x14ac:dyDescent="0.2">
      <c r="B252" s="36"/>
    </row>
    <row r="253" spans="2:2" s="8" customFormat="1" x14ac:dyDescent="0.2">
      <c r="B253" s="36"/>
    </row>
    <row r="254" spans="2:2" s="8" customFormat="1" x14ac:dyDescent="0.2">
      <c r="B254" s="36"/>
    </row>
    <row r="255" spans="2:2" s="8" customFormat="1" x14ac:dyDescent="0.2">
      <c r="B255" s="36"/>
    </row>
    <row r="256" spans="2:2" s="8" customFormat="1" x14ac:dyDescent="0.2">
      <c r="B256" s="36"/>
    </row>
    <row r="257" spans="2:2" s="8" customFormat="1" x14ac:dyDescent="0.2">
      <c r="B257" s="36"/>
    </row>
    <row r="258" spans="2:2" s="8" customFormat="1" x14ac:dyDescent="0.2">
      <c r="B258" s="36"/>
    </row>
    <row r="259" spans="2:2" s="8" customFormat="1" x14ac:dyDescent="0.2">
      <c r="B259" s="36"/>
    </row>
    <row r="260" spans="2:2" s="8" customFormat="1" x14ac:dyDescent="0.2">
      <c r="B260" s="36"/>
    </row>
    <row r="261" spans="2:2" s="8" customFormat="1" x14ac:dyDescent="0.2">
      <c r="B261" s="36"/>
    </row>
    <row r="262" spans="2:2" s="8" customFormat="1" x14ac:dyDescent="0.2">
      <c r="B262" s="36"/>
    </row>
    <row r="263" spans="2:2" s="8" customFormat="1" x14ac:dyDescent="0.2">
      <c r="B263" s="36"/>
    </row>
    <row r="264" spans="2:2" s="8" customFormat="1" x14ac:dyDescent="0.2">
      <c r="B264" s="36"/>
    </row>
    <row r="265" spans="2:2" s="8" customFormat="1" x14ac:dyDescent="0.2">
      <c r="B265" s="36"/>
    </row>
    <row r="266" spans="2:2" s="8" customFormat="1" x14ac:dyDescent="0.2">
      <c r="B266" s="36"/>
    </row>
    <row r="267" spans="2:2" s="8" customFormat="1" x14ac:dyDescent="0.2">
      <c r="B267" s="36"/>
    </row>
    <row r="268" spans="2:2" s="8" customFormat="1" x14ac:dyDescent="0.2">
      <c r="B268" s="36"/>
    </row>
    <row r="269" spans="2:2" s="8" customFormat="1" x14ac:dyDescent="0.2">
      <c r="B269" s="36"/>
    </row>
    <row r="270" spans="2:2" s="8" customFormat="1" x14ac:dyDescent="0.2">
      <c r="B270" s="36"/>
    </row>
    <row r="271" spans="2:2" s="8" customFormat="1" x14ac:dyDescent="0.2">
      <c r="B271" s="36"/>
    </row>
    <row r="272" spans="2:2" s="8" customFormat="1" x14ac:dyDescent="0.2">
      <c r="B272" s="36"/>
    </row>
    <row r="273" spans="2:2" s="8" customFormat="1" x14ac:dyDescent="0.2">
      <c r="B273" s="36"/>
    </row>
    <row r="274" spans="2:2" s="8" customFormat="1" x14ac:dyDescent="0.2">
      <c r="B274" s="36"/>
    </row>
    <row r="275" spans="2:2" s="8" customFormat="1" x14ac:dyDescent="0.2">
      <c r="B275" s="36"/>
    </row>
    <row r="276" spans="2:2" s="8" customFormat="1" x14ac:dyDescent="0.2">
      <c r="B276" s="36"/>
    </row>
    <row r="277" spans="2:2" s="8" customFormat="1" x14ac:dyDescent="0.2">
      <c r="B277" s="36"/>
    </row>
    <row r="278" spans="2:2" s="8" customFormat="1" x14ac:dyDescent="0.2">
      <c r="B278" s="36"/>
    </row>
    <row r="279" spans="2:2" s="8" customFormat="1" x14ac:dyDescent="0.2">
      <c r="B279" s="36"/>
    </row>
    <row r="280" spans="2:2" s="8" customFormat="1" x14ac:dyDescent="0.2">
      <c r="B280" s="36"/>
    </row>
  </sheetData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9" fitToHeight="0" orientation="portrait" r:id="rId1"/>
  <headerFooter alignWithMargins="0">
    <oddFooter>&amp;C&amp;"Garamond,Corsivo"&amp;P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87"/>
  <sheetViews>
    <sheetView topLeftCell="A30" zoomScale="80" zoomScaleNormal="80" workbookViewId="0">
      <selection activeCell="I31" sqref="I31"/>
    </sheetView>
  </sheetViews>
  <sheetFormatPr defaultColWidth="10.42578125" defaultRowHeight="15.75" x14ac:dyDescent="0.25"/>
  <cols>
    <col min="1" max="1" width="4" style="104" customWidth="1"/>
    <col min="2" max="2" width="4.5703125" style="104" customWidth="1"/>
    <col min="3" max="3" width="2.5703125" style="104" customWidth="1"/>
    <col min="4" max="5" width="4" style="104" customWidth="1"/>
    <col min="6" max="6" width="68.28515625" style="40" customWidth="1"/>
    <col min="7" max="8" width="20.5703125" style="40" customWidth="1"/>
    <col min="9" max="9" width="17.5703125" style="40" customWidth="1"/>
    <col min="10" max="10" width="15.5703125" style="40" customWidth="1"/>
    <col min="11" max="16384" width="10.42578125" style="40"/>
  </cols>
  <sheetData>
    <row r="1" spans="1:10" s="37" customFormat="1" ht="27.6" customHeight="1" x14ac:dyDescent="0.2">
      <c r="A1" s="192" t="s">
        <v>132</v>
      </c>
      <c r="B1" s="193"/>
      <c r="C1" s="193"/>
      <c r="D1" s="193"/>
      <c r="E1" s="193"/>
      <c r="F1" s="193"/>
      <c r="G1" s="193"/>
      <c r="H1" s="193"/>
      <c r="I1" s="200" t="s">
        <v>1385</v>
      </c>
      <c r="J1" s="201"/>
    </row>
    <row r="2" spans="1:10" s="37" customFormat="1" ht="27.6" customHeight="1" x14ac:dyDescent="0.2">
      <c r="A2" s="194"/>
      <c r="B2" s="195"/>
      <c r="C2" s="195"/>
      <c r="D2" s="195"/>
      <c r="E2" s="195"/>
      <c r="F2" s="195"/>
      <c r="G2" s="195"/>
      <c r="H2" s="195"/>
      <c r="I2" s="202"/>
      <c r="J2" s="203"/>
    </row>
    <row r="3" spans="1:10" s="39" customFormat="1" ht="15" customHeight="1" thickBot="1" x14ac:dyDescent="0.25">
      <c r="A3" s="38"/>
      <c r="B3" s="38"/>
      <c r="C3" s="38"/>
      <c r="D3" s="38"/>
      <c r="E3" s="38"/>
      <c r="F3" s="38"/>
    </row>
    <row r="4" spans="1:10" ht="19.5" customHeight="1" x14ac:dyDescent="0.25">
      <c r="A4" s="210" t="s">
        <v>308</v>
      </c>
      <c r="B4" s="211"/>
      <c r="C4" s="211"/>
      <c r="D4" s="211"/>
      <c r="E4" s="211"/>
      <c r="F4" s="212"/>
      <c r="G4" s="206" t="s">
        <v>1387</v>
      </c>
      <c r="H4" s="206" t="s">
        <v>1386</v>
      </c>
      <c r="I4" s="204" t="s">
        <v>1388</v>
      </c>
      <c r="J4" s="205"/>
    </row>
    <row r="5" spans="1:10" ht="32.25" customHeight="1" x14ac:dyDescent="0.25">
      <c r="A5" s="213"/>
      <c r="B5" s="214"/>
      <c r="C5" s="214"/>
      <c r="D5" s="214"/>
      <c r="E5" s="214"/>
      <c r="F5" s="215"/>
      <c r="G5" s="207"/>
      <c r="H5" s="207"/>
      <c r="I5" s="177" t="s">
        <v>858</v>
      </c>
      <c r="J5" s="178" t="s">
        <v>1389</v>
      </c>
    </row>
    <row r="6" spans="1:10" s="45" customFormat="1" ht="27" customHeight="1" x14ac:dyDescent="0.2">
      <c r="A6" s="41" t="s">
        <v>133</v>
      </c>
      <c r="B6" s="42" t="s">
        <v>134</v>
      </c>
      <c r="C6" s="42"/>
      <c r="D6" s="42"/>
      <c r="E6" s="42"/>
      <c r="F6" s="43"/>
      <c r="G6" s="44"/>
      <c r="H6" s="176"/>
      <c r="I6" s="176"/>
      <c r="J6" s="185"/>
    </row>
    <row r="7" spans="1:10" s="45" customFormat="1" ht="27" customHeight="1" x14ac:dyDescent="0.2">
      <c r="A7" s="46"/>
      <c r="B7" s="47" t="s">
        <v>135</v>
      </c>
      <c r="C7" s="48" t="s">
        <v>136</v>
      </c>
      <c r="D7" s="48"/>
      <c r="E7" s="48"/>
      <c r="F7" s="49"/>
      <c r="G7" s="110">
        <f>G8+G9+G16+G21</f>
        <v>1233001308.6841614</v>
      </c>
      <c r="H7" s="110">
        <v>1233997813.5599997</v>
      </c>
      <c r="I7" s="110">
        <f>G7-H7</f>
        <v>-996504.87583827972</v>
      </c>
      <c r="J7" s="181">
        <f>IFERROR(I7/H7,0)</f>
        <v>-8.0754184884933549E-4</v>
      </c>
    </row>
    <row r="8" spans="1:10" s="135" customFormat="1" ht="31.15" customHeight="1" x14ac:dyDescent="0.2">
      <c r="A8" s="131"/>
      <c r="B8" s="132"/>
      <c r="C8" s="133"/>
      <c r="D8" s="132" t="s">
        <v>137</v>
      </c>
      <c r="E8" s="208" t="s">
        <v>138</v>
      </c>
      <c r="F8" s="209"/>
      <c r="G8" s="134">
        <f>+'Modello CE'!C4</f>
        <v>1216037128.4941614</v>
      </c>
      <c r="H8" s="134">
        <v>1196892110.2099998</v>
      </c>
      <c r="I8" s="134">
        <f t="shared" ref="I8:I32" si="0">G8-H8</f>
        <v>19145018.284161568</v>
      </c>
      <c r="J8" s="186">
        <f t="shared" ref="J8:J32" si="1">IFERROR(I8/H8,0)</f>
        <v>1.5995609061874836E-2</v>
      </c>
    </row>
    <row r="9" spans="1:10" s="54" customFormat="1" ht="27" customHeight="1" x14ac:dyDescent="0.2">
      <c r="A9" s="50"/>
      <c r="B9" s="51"/>
      <c r="C9" s="52"/>
      <c r="D9" s="51" t="s">
        <v>139</v>
      </c>
      <c r="E9" s="52" t="s">
        <v>140</v>
      </c>
      <c r="F9" s="53"/>
      <c r="G9" s="109">
        <f>SUM(G10:G15)</f>
        <v>16964180.190000001</v>
      </c>
      <c r="H9" s="109">
        <v>37083953.350000001</v>
      </c>
      <c r="I9" s="109">
        <f t="shared" si="0"/>
        <v>-20119773.16</v>
      </c>
      <c r="J9" s="180">
        <f t="shared" si="1"/>
        <v>-0.54254660958362999</v>
      </c>
    </row>
    <row r="10" spans="1:10" s="60" customFormat="1" ht="26.25" customHeight="1" x14ac:dyDescent="0.2">
      <c r="A10" s="55"/>
      <c r="B10" s="56"/>
      <c r="C10" s="57"/>
      <c r="D10" s="56"/>
      <c r="E10" s="58" t="s">
        <v>135</v>
      </c>
      <c r="F10" s="59" t="s">
        <v>141</v>
      </c>
      <c r="G10" s="112">
        <f>+'Modello CE'!C15</f>
        <v>0</v>
      </c>
      <c r="H10" s="112">
        <v>0</v>
      </c>
      <c r="I10" s="112">
        <f t="shared" si="0"/>
        <v>0</v>
      </c>
      <c r="J10" s="187">
        <f t="shared" si="1"/>
        <v>0</v>
      </c>
    </row>
    <row r="11" spans="1:10" s="60" customFormat="1" ht="31.5" x14ac:dyDescent="0.2">
      <c r="A11" s="55"/>
      <c r="B11" s="56"/>
      <c r="C11" s="57"/>
      <c r="D11" s="56"/>
      <c r="E11" s="58" t="s">
        <v>142</v>
      </c>
      <c r="F11" s="130" t="s">
        <v>143</v>
      </c>
      <c r="G11" s="112">
        <f>+'Modello CE'!C16</f>
        <v>0</v>
      </c>
      <c r="H11" s="112">
        <v>0</v>
      </c>
      <c r="I11" s="112">
        <f t="shared" si="0"/>
        <v>0</v>
      </c>
      <c r="J11" s="187">
        <f t="shared" si="1"/>
        <v>0</v>
      </c>
    </row>
    <row r="12" spans="1:10" s="60" customFormat="1" ht="31.5" x14ac:dyDescent="0.2">
      <c r="A12" s="55"/>
      <c r="B12" s="56"/>
      <c r="C12" s="57"/>
      <c r="D12" s="56"/>
      <c r="E12" s="58" t="s">
        <v>144</v>
      </c>
      <c r="F12" s="130" t="s">
        <v>145</v>
      </c>
      <c r="G12" s="112">
        <f>+'Modello CE'!C17</f>
        <v>13257122.49</v>
      </c>
      <c r="H12" s="112">
        <v>15795005</v>
      </c>
      <c r="I12" s="112">
        <f t="shared" si="0"/>
        <v>-2537882.5099999998</v>
      </c>
      <c r="J12" s="187">
        <f t="shared" si="1"/>
        <v>-0.16067627139086058</v>
      </c>
    </row>
    <row r="13" spans="1:10" s="60" customFormat="1" ht="26.25" customHeight="1" x14ac:dyDescent="0.2">
      <c r="A13" s="55"/>
      <c r="B13" s="56"/>
      <c r="C13" s="57"/>
      <c r="D13" s="56"/>
      <c r="E13" s="58" t="s">
        <v>146</v>
      </c>
      <c r="F13" s="59" t="s">
        <v>147</v>
      </c>
      <c r="G13" s="112">
        <f>+'Modello CE'!C18</f>
        <v>0</v>
      </c>
      <c r="H13" s="112">
        <v>49130.03</v>
      </c>
      <c r="I13" s="112">
        <f t="shared" si="0"/>
        <v>-49130.03</v>
      </c>
      <c r="J13" s="187">
        <f t="shared" si="1"/>
        <v>-1</v>
      </c>
    </row>
    <row r="14" spans="1:10" s="60" customFormat="1" ht="26.25" customHeight="1" x14ac:dyDescent="0.2">
      <c r="A14" s="55"/>
      <c r="B14" s="56"/>
      <c r="C14" s="57"/>
      <c r="D14" s="56"/>
      <c r="E14" s="58" t="s">
        <v>148</v>
      </c>
      <c r="F14" s="59" t="s">
        <v>149</v>
      </c>
      <c r="G14" s="112">
        <f>+'Modello CE'!C19</f>
        <v>9630</v>
      </c>
      <c r="H14" s="112">
        <v>23330</v>
      </c>
      <c r="I14" s="112">
        <f t="shared" si="0"/>
        <v>-13700</v>
      </c>
      <c r="J14" s="187">
        <f t="shared" si="1"/>
        <v>-0.58722674667809682</v>
      </c>
    </row>
    <row r="15" spans="1:10" s="60" customFormat="1" ht="26.25" customHeight="1" x14ac:dyDescent="0.2">
      <c r="A15" s="55"/>
      <c r="B15" s="56"/>
      <c r="C15" s="57"/>
      <c r="D15" s="56"/>
      <c r="E15" s="58" t="s">
        <v>150</v>
      </c>
      <c r="F15" s="59" t="s">
        <v>151</v>
      </c>
      <c r="G15" s="112">
        <f>+'Modello CE'!C22</f>
        <v>3697427.7</v>
      </c>
      <c r="H15" s="112">
        <v>21216488.32</v>
      </c>
      <c r="I15" s="112">
        <f t="shared" si="0"/>
        <v>-17519060.620000001</v>
      </c>
      <c r="J15" s="187">
        <f t="shared" si="1"/>
        <v>-0.82572857278579082</v>
      </c>
    </row>
    <row r="16" spans="1:10" s="54" customFormat="1" ht="27" customHeight="1" x14ac:dyDescent="0.2">
      <c r="A16" s="50"/>
      <c r="B16" s="51"/>
      <c r="C16" s="52"/>
      <c r="D16" s="51" t="s">
        <v>152</v>
      </c>
      <c r="E16" s="52" t="s">
        <v>153</v>
      </c>
      <c r="F16" s="61"/>
      <c r="G16" s="109">
        <f>SUM(G17:G20)</f>
        <v>0</v>
      </c>
      <c r="H16" s="109">
        <v>21750</v>
      </c>
      <c r="I16" s="109">
        <f t="shared" si="0"/>
        <v>-21750</v>
      </c>
      <c r="J16" s="180">
        <f t="shared" si="1"/>
        <v>-1</v>
      </c>
    </row>
    <row r="17" spans="1:10" s="54" customFormat="1" ht="27" customHeight="1" x14ac:dyDescent="0.2">
      <c r="A17" s="50"/>
      <c r="B17" s="51"/>
      <c r="C17" s="52"/>
      <c r="D17" s="52"/>
      <c r="E17" s="62" t="s">
        <v>135</v>
      </c>
      <c r="F17" s="63" t="s">
        <v>154</v>
      </c>
      <c r="G17" s="109">
        <f>+'Modello CE'!C29</f>
        <v>0</v>
      </c>
      <c r="H17" s="109">
        <v>0</v>
      </c>
      <c r="I17" s="109">
        <f t="shared" si="0"/>
        <v>0</v>
      </c>
      <c r="J17" s="180">
        <f t="shared" si="1"/>
        <v>0</v>
      </c>
    </row>
    <row r="18" spans="1:10" s="54" customFormat="1" ht="27" customHeight="1" x14ac:dyDescent="0.2">
      <c r="A18" s="50"/>
      <c r="B18" s="51"/>
      <c r="C18" s="52"/>
      <c r="D18" s="52"/>
      <c r="E18" s="62" t="s">
        <v>142</v>
      </c>
      <c r="F18" s="63" t="s">
        <v>155</v>
      </c>
      <c r="G18" s="109">
        <f>+'Modello CE'!C30</f>
        <v>0</v>
      </c>
      <c r="H18" s="109">
        <v>0</v>
      </c>
      <c r="I18" s="109">
        <f t="shared" si="0"/>
        <v>0</v>
      </c>
      <c r="J18" s="180">
        <f t="shared" si="1"/>
        <v>0</v>
      </c>
    </row>
    <row r="19" spans="1:10" s="54" customFormat="1" ht="27" customHeight="1" x14ac:dyDescent="0.2">
      <c r="A19" s="50"/>
      <c r="B19" s="51"/>
      <c r="C19" s="52"/>
      <c r="D19" s="52"/>
      <c r="E19" s="62" t="s">
        <v>144</v>
      </c>
      <c r="F19" s="63" t="s">
        <v>156</v>
      </c>
      <c r="G19" s="109">
        <f>+'Modello CE'!C31</f>
        <v>0</v>
      </c>
      <c r="H19" s="109">
        <v>21750</v>
      </c>
      <c r="I19" s="109">
        <f t="shared" si="0"/>
        <v>-21750</v>
      </c>
      <c r="J19" s="180">
        <f t="shared" si="1"/>
        <v>-1</v>
      </c>
    </row>
    <row r="20" spans="1:10" s="54" customFormat="1" ht="27" customHeight="1" x14ac:dyDescent="0.2">
      <c r="A20" s="50"/>
      <c r="B20" s="51"/>
      <c r="C20" s="52"/>
      <c r="D20" s="52"/>
      <c r="E20" s="62" t="s">
        <v>146</v>
      </c>
      <c r="F20" s="63" t="s">
        <v>157</v>
      </c>
      <c r="G20" s="109">
        <f>+'Modello CE'!C32</f>
        <v>0</v>
      </c>
      <c r="H20" s="109">
        <v>0</v>
      </c>
      <c r="I20" s="109">
        <f t="shared" si="0"/>
        <v>0</v>
      </c>
      <c r="J20" s="180">
        <f t="shared" si="1"/>
        <v>0</v>
      </c>
    </row>
    <row r="21" spans="1:10" s="54" customFormat="1" ht="27" customHeight="1" x14ac:dyDescent="0.2">
      <c r="A21" s="50"/>
      <c r="B21" s="51"/>
      <c r="C21" s="52"/>
      <c r="D21" s="51" t="s">
        <v>158</v>
      </c>
      <c r="E21" s="52" t="s">
        <v>159</v>
      </c>
      <c r="F21" s="53"/>
      <c r="G21" s="109">
        <f>+'Modello CE'!C33</f>
        <v>0</v>
      </c>
      <c r="H21" s="109">
        <v>0</v>
      </c>
      <c r="I21" s="109">
        <f t="shared" si="0"/>
        <v>0</v>
      </c>
      <c r="J21" s="180">
        <f t="shared" si="1"/>
        <v>0</v>
      </c>
    </row>
    <row r="22" spans="1:10" s="45" customFormat="1" ht="27" customHeight="1" x14ac:dyDescent="0.2">
      <c r="A22" s="64"/>
      <c r="B22" s="47" t="s">
        <v>142</v>
      </c>
      <c r="C22" s="48" t="s">
        <v>160</v>
      </c>
      <c r="D22" s="48"/>
      <c r="E22" s="48"/>
      <c r="F22" s="49"/>
      <c r="G22" s="110">
        <f>+'Modello CE'!C34</f>
        <v>0</v>
      </c>
      <c r="H22" s="110">
        <v>-5315956.92</v>
      </c>
      <c r="I22" s="110">
        <f t="shared" si="0"/>
        <v>5315956.92</v>
      </c>
      <c r="J22" s="181">
        <f t="shared" si="1"/>
        <v>-1</v>
      </c>
    </row>
    <row r="23" spans="1:10" s="45" customFormat="1" ht="27" customHeight="1" x14ac:dyDescent="0.2">
      <c r="A23" s="64"/>
      <c r="B23" s="47" t="s">
        <v>144</v>
      </c>
      <c r="C23" s="48" t="s">
        <v>161</v>
      </c>
      <c r="D23" s="48"/>
      <c r="E23" s="48"/>
      <c r="F23" s="49"/>
      <c r="G23" s="110">
        <f>+'Modello CE'!C37</f>
        <v>1855463.84</v>
      </c>
      <c r="H23" s="110">
        <v>13016153.219999999</v>
      </c>
      <c r="I23" s="110">
        <f t="shared" si="0"/>
        <v>-11160689.379999999</v>
      </c>
      <c r="J23" s="181">
        <f t="shared" si="1"/>
        <v>-0.85744913964680569</v>
      </c>
    </row>
    <row r="24" spans="1:10" s="45" customFormat="1" ht="27" customHeight="1" x14ac:dyDescent="0.2">
      <c r="A24" s="46"/>
      <c r="B24" s="47" t="s">
        <v>146</v>
      </c>
      <c r="C24" s="48" t="s">
        <v>162</v>
      </c>
      <c r="D24" s="48"/>
      <c r="E24" s="48"/>
      <c r="F24" s="49"/>
      <c r="G24" s="110">
        <f>SUM(G25:G27)</f>
        <v>65804793.009999998</v>
      </c>
      <c r="H24" s="110">
        <v>67636769.070000008</v>
      </c>
      <c r="I24" s="110">
        <f t="shared" si="0"/>
        <v>-1831976.0600000098</v>
      </c>
      <c r="J24" s="181">
        <f t="shared" si="1"/>
        <v>-2.7085505194726616E-2</v>
      </c>
    </row>
    <row r="25" spans="1:10" s="54" customFormat="1" ht="27" customHeight="1" x14ac:dyDescent="0.2">
      <c r="A25" s="50"/>
      <c r="B25" s="51"/>
      <c r="C25" s="52"/>
      <c r="D25" s="51" t="s">
        <v>137</v>
      </c>
      <c r="E25" s="52" t="s">
        <v>163</v>
      </c>
      <c r="F25" s="53"/>
      <c r="G25" s="109">
        <f>+'Modello CE'!C44+'Modello CE'!C83</f>
        <v>51998050.129999995</v>
      </c>
      <c r="H25" s="109">
        <v>54621054.760000005</v>
      </c>
      <c r="I25" s="109">
        <f t="shared" si="0"/>
        <v>-2623004.6300000101</v>
      </c>
      <c r="J25" s="180">
        <f t="shared" si="1"/>
        <v>-4.8021859730194814E-2</v>
      </c>
    </row>
    <row r="26" spans="1:10" s="54" customFormat="1" ht="27" customHeight="1" x14ac:dyDescent="0.2">
      <c r="A26" s="50"/>
      <c r="B26" s="51"/>
      <c r="C26" s="52"/>
      <c r="D26" s="51" t="s">
        <v>139</v>
      </c>
      <c r="E26" s="52" t="s">
        <v>164</v>
      </c>
      <c r="F26" s="53"/>
      <c r="G26" s="109">
        <f>+'Modello CE'!C90</f>
        <v>5766700</v>
      </c>
      <c r="H26" s="109">
        <v>5503684.7800000003</v>
      </c>
      <c r="I26" s="109">
        <f t="shared" si="0"/>
        <v>263015.21999999974</v>
      </c>
      <c r="J26" s="180">
        <f t="shared" si="1"/>
        <v>4.7788932417746448E-2</v>
      </c>
    </row>
    <row r="27" spans="1:10" s="54" customFormat="1" ht="27" customHeight="1" x14ac:dyDescent="0.2">
      <c r="A27" s="50"/>
      <c r="B27" s="51"/>
      <c r="C27" s="52"/>
      <c r="D27" s="51" t="s">
        <v>152</v>
      </c>
      <c r="E27" s="52" t="s">
        <v>165</v>
      </c>
      <c r="F27" s="61"/>
      <c r="G27" s="109">
        <f>+'Modello CE'!C89</f>
        <v>8040042.8799999999</v>
      </c>
      <c r="H27" s="109">
        <v>7512029.5300000003</v>
      </c>
      <c r="I27" s="109">
        <f t="shared" si="0"/>
        <v>528013.34999999963</v>
      </c>
      <c r="J27" s="180">
        <f t="shared" si="1"/>
        <v>7.0289040783363316E-2</v>
      </c>
    </row>
    <row r="28" spans="1:10" s="45" customFormat="1" ht="27" customHeight="1" x14ac:dyDescent="0.2">
      <c r="A28" s="64"/>
      <c r="B28" s="47" t="s">
        <v>148</v>
      </c>
      <c r="C28" s="48" t="s">
        <v>166</v>
      </c>
      <c r="D28" s="48"/>
      <c r="E28" s="48"/>
      <c r="F28" s="49"/>
      <c r="G28" s="110">
        <f>+'Modello CE'!C98</f>
        <v>18760049.507223245</v>
      </c>
      <c r="H28" s="110">
        <v>27643893.030000001</v>
      </c>
      <c r="I28" s="110">
        <f t="shared" si="0"/>
        <v>-8883843.5227767564</v>
      </c>
      <c r="J28" s="181">
        <f t="shared" si="1"/>
        <v>-0.321367309341551</v>
      </c>
    </row>
    <row r="29" spans="1:10" s="45" customFormat="1" ht="27" customHeight="1" x14ac:dyDescent="0.2">
      <c r="A29" s="64"/>
      <c r="B29" s="47" t="s">
        <v>150</v>
      </c>
      <c r="C29" s="48" t="s">
        <v>167</v>
      </c>
      <c r="D29" s="48"/>
      <c r="E29" s="48"/>
      <c r="F29" s="49"/>
      <c r="G29" s="110">
        <f>+'Modello CE'!C119</f>
        <v>19350000</v>
      </c>
      <c r="H29" s="110">
        <v>19499145.57</v>
      </c>
      <c r="I29" s="110">
        <f t="shared" si="0"/>
        <v>-149145.5700000003</v>
      </c>
      <c r="J29" s="181">
        <f t="shared" si="1"/>
        <v>-7.6488259172476291E-3</v>
      </c>
    </row>
    <row r="30" spans="1:10" s="45" customFormat="1" ht="27" customHeight="1" x14ac:dyDescent="0.2">
      <c r="A30" s="64"/>
      <c r="B30" s="47" t="s">
        <v>168</v>
      </c>
      <c r="C30" s="48" t="s">
        <v>169</v>
      </c>
      <c r="D30" s="48"/>
      <c r="E30" s="48"/>
      <c r="F30" s="49"/>
      <c r="G30" s="110">
        <f>+'Modello CE'!C123</f>
        <v>13500000</v>
      </c>
      <c r="H30" s="110">
        <v>13368160.02</v>
      </c>
      <c r="I30" s="110">
        <f t="shared" si="0"/>
        <v>131839.98000000045</v>
      </c>
      <c r="J30" s="181">
        <f t="shared" si="1"/>
        <v>9.8622383187181844E-3</v>
      </c>
    </row>
    <row r="31" spans="1:10" s="45" customFormat="1" ht="29.25" customHeight="1" x14ac:dyDescent="0.2">
      <c r="A31" s="64"/>
      <c r="B31" s="47" t="s">
        <v>170</v>
      </c>
      <c r="C31" s="65" t="s">
        <v>171</v>
      </c>
      <c r="D31" s="66"/>
      <c r="E31" s="66"/>
      <c r="F31" s="67"/>
      <c r="G31" s="110">
        <f>+'Modello CE'!C130</f>
        <v>0</v>
      </c>
      <c r="H31" s="110">
        <v>0</v>
      </c>
      <c r="I31" s="110">
        <f t="shared" si="0"/>
        <v>0</v>
      </c>
      <c r="J31" s="181">
        <f t="shared" si="1"/>
        <v>0</v>
      </c>
    </row>
    <row r="32" spans="1:10" s="45" customFormat="1" ht="27" customHeight="1" x14ac:dyDescent="0.2">
      <c r="A32" s="64"/>
      <c r="B32" s="47" t="s">
        <v>172</v>
      </c>
      <c r="C32" s="48" t="s">
        <v>173</v>
      </c>
      <c r="D32" s="48"/>
      <c r="E32" s="48"/>
      <c r="F32" s="49"/>
      <c r="G32" s="110">
        <f>+'Modello CE'!C131</f>
        <v>3434994.83</v>
      </c>
      <c r="H32" s="110">
        <v>3382636.2399999998</v>
      </c>
      <c r="I32" s="110">
        <f t="shared" si="0"/>
        <v>52358.590000000317</v>
      </c>
      <c r="J32" s="181">
        <f t="shared" si="1"/>
        <v>1.5478634498399485E-2</v>
      </c>
    </row>
    <row r="33" spans="1:10" s="45" customFormat="1" ht="27" customHeight="1" x14ac:dyDescent="0.2">
      <c r="A33" s="68"/>
      <c r="B33" s="196" t="s">
        <v>912</v>
      </c>
      <c r="C33" s="196"/>
      <c r="D33" s="196"/>
      <c r="E33" s="196"/>
      <c r="F33" s="197"/>
      <c r="G33" s="115">
        <f>G7+G22+G23+G24+SUM(G28:G32)</f>
        <v>1355706609.8713846</v>
      </c>
      <c r="H33" s="115">
        <v>1373228613.7899995</v>
      </c>
      <c r="I33" s="115">
        <f t="shared" ref="I33:I35" si="2">G33-H33</f>
        <v>-17522003.918614864</v>
      </c>
      <c r="J33" s="179">
        <f t="shared" ref="J33:J35" si="3">IFERROR(I33/H33,0)</f>
        <v>-1.2759713672332793E-2</v>
      </c>
    </row>
    <row r="34" spans="1:10" s="54" customFormat="1" ht="9" customHeight="1" x14ac:dyDescent="0.2">
      <c r="A34" s="69"/>
      <c r="B34" s="51"/>
      <c r="C34" s="52"/>
      <c r="D34" s="52"/>
      <c r="E34" s="52"/>
      <c r="F34" s="53"/>
      <c r="G34" s="109"/>
      <c r="H34" s="109"/>
      <c r="I34" s="109"/>
      <c r="J34" s="180"/>
    </row>
    <row r="35" spans="1:10" s="45" customFormat="1" ht="27" customHeight="1" x14ac:dyDescent="0.2">
      <c r="A35" s="46" t="s">
        <v>174</v>
      </c>
      <c r="B35" s="70" t="s">
        <v>175</v>
      </c>
      <c r="C35" s="71"/>
      <c r="D35" s="71"/>
      <c r="E35" s="71"/>
      <c r="F35" s="72"/>
      <c r="G35" s="110"/>
      <c r="H35" s="110"/>
      <c r="I35" s="110">
        <f t="shared" si="2"/>
        <v>0</v>
      </c>
      <c r="J35" s="181">
        <f t="shared" si="3"/>
        <v>0</v>
      </c>
    </row>
    <row r="36" spans="1:10" s="45" customFormat="1" ht="27" customHeight="1" x14ac:dyDescent="0.2">
      <c r="A36" s="64"/>
      <c r="B36" s="47" t="s">
        <v>135</v>
      </c>
      <c r="C36" s="48" t="s">
        <v>176</v>
      </c>
      <c r="D36" s="73"/>
      <c r="E36" s="48"/>
      <c r="F36" s="49"/>
      <c r="G36" s="114">
        <f>SUM(G37:G38)</f>
        <v>169462616.37363636</v>
      </c>
      <c r="H36" s="114">
        <v>165315721.54000002</v>
      </c>
      <c r="I36" s="114">
        <f t="shared" ref="I36:I83" si="4">G36-H36</f>
        <v>4146894.8336363435</v>
      </c>
      <c r="J36" s="181">
        <f t="shared" ref="J36:J83" si="5">IFERROR(I36/H36,0)</f>
        <v>2.5084697299239959E-2</v>
      </c>
    </row>
    <row r="37" spans="1:10" s="54" customFormat="1" ht="27" customHeight="1" x14ac:dyDescent="0.2">
      <c r="A37" s="50"/>
      <c r="B37" s="51"/>
      <c r="C37" s="52"/>
      <c r="D37" s="51" t="s">
        <v>137</v>
      </c>
      <c r="E37" s="52" t="s">
        <v>177</v>
      </c>
      <c r="F37" s="53"/>
      <c r="G37" s="109">
        <f>-'Modello CE'!C138</f>
        <v>166802616.37363636</v>
      </c>
      <c r="H37" s="109">
        <v>161129977.79000002</v>
      </c>
      <c r="I37" s="109">
        <f t="shared" si="4"/>
        <v>5672638.5836363435</v>
      </c>
      <c r="J37" s="180">
        <f t="shared" si="5"/>
        <v>3.5205358192436843E-2</v>
      </c>
    </row>
    <row r="38" spans="1:10" s="54" customFormat="1" ht="27" customHeight="1" x14ac:dyDescent="0.2">
      <c r="A38" s="50"/>
      <c r="B38" s="51"/>
      <c r="C38" s="52"/>
      <c r="D38" s="51" t="s">
        <v>139</v>
      </c>
      <c r="E38" s="52" t="s">
        <v>178</v>
      </c>
      <c r="F38" s="53"/>
      <c r="G38" s="109">
        <f>-'Modello CE'!C168</f>
        <v>2660000</v>
      </c>
      <c r="H38" s="109">
        <v>4185743.75</v>
      </c>
      <c r="I38" s="109">
        <f t="shared" si="4"/>
        <v>-1525743.75</v>
      </c>
      <c r="J38" s="180">
        <f t="shared" si="5"/>
        <v>-0.36450959282923134</v>
      </c>
    </row>
    <row r="39" spans="1:10" s="45" customFormat="1" ht="27" customHeight="1" x14ac:dyDescent="0.2">
      <c r="A39" s="64"/>
      <c r="B39" s="47" t="s">
        <v>142</v>
      </c>
      <c r="C39" s="48" t="s">
        <v>179</v>
      </c>
      <c r="D39" s="73"/>
      <c r="E39" s="48"/>
      <c r="F39" s="49"/>
      <c r="G39" s="114">
        <f>SUM(G40:G56)</f>
        <v>836920091.70262086</v>
      </c>
      <c r="H39" s="114">
        <v>838257997.06999993</v>
      </c>
      <c r="I39" s="114">
        <f t="shared" si="4"/>
        <v>-1337905.3673790693</v>
      </c>
      <c r="J39" s="181">
        <f t="shared" si="5"/>
        <v>-1.5960544033644878E-3</v>
      </c>
    </row>
    <row r="40" spans="1:10" s="54" customFormat="1" ht="27" customHeight="1" x14ac:dyDescent="0.2">
      <c r="A40" s="69"/>
      <c r="B40" s="51"/>
      <c r="C40" s="52"/>
      <c r="D40" s="51" t="s">
        <v>137</v>
      </c>
      <c r="E40" s="52" t="s">
        <v>180</v>
      </c>
      <c r="F40" s="53"/>
      <c r="G40" s="109">
        <f>-'Modello CE'!C178</f>
        <v>94100583.019999966</v>
      </c>
      <c r="H40" s="109">
        <v>94196557.340000004</v>
      </c>
      <c r="I40" s="109">
        <f t="shared" si="4"/>
        <v>-95974.320000037551</v>
      </c>
      <c r="J40" s="180">
        <f t="shared" si="5"/>
        <v>-1.0188729048092571E-3</v>
      </c>
    </row>
    <row r="41" spans="1:10" s="54" customFormat="1" ht="27" customHeight="1" x14ac:dyDescent="0.2">
      <c r="A41" s="69"/>
      <c r="B41" s="51"/>
      <c r="C41" s="52"/>
      <c r="D41" s="51" t="s">
        <v>139</v>
      </c>
      <c r="E41" s="52" t="s">
        <v>181</v>
      </c>
      <c r="F41" s="53"/>
      <c r="G41" s="109">
        <f>-'Modello CE'!C186</f>
        <v>78534199.910000011</v>
      </c>
      <c r="H41" s="109">
        <v>76721098.510000005</v>
      </c>
      <c r="I41" s="109">
        <f t="shared" si="4"/>
        <v>1813101.400000006</v>
      </c>
      <c r="J41" s="180">
        <f t="shared" si="5"/>
        <v>2.3632370172120023E-2</v>
      </c>
    </row>
    <row r="42" spans="1:10" s="54" customFormat="1" ht="27" customHeight="1" x14ac:dyDescent="0.2">
      <c r="A42" s="69"/>
      <c r="B42" s="51"/>
      <c r="C42" s="74"/>
      <c r="D42" s="51" t="s">
        <v>152</v>
      </c>
      <c r="E42" s="52" t="s">
        <v>182</v>
      </c>
      <c r="F42" s="53"/>
      <c r="G42" s="109">
        <f>-'Modello CE'!C190</f>
        <v>119021322.25</v>
      </c>
      <c r="H42" s="109">
        <v>115901113.41999999</v>
      </c>
      <c r="I42" s="109">
        <f t="shared" si="4"/>
        <v>3120208.8300000131</v>
      </c>
      <c r="J42" s="180">
        <f t="shared" si="5"/>
        <v>2.6921301598657355E-2</v>
      </c>
    </row>
    <row r="43" spans="1:10" s="54" customFormat="1" ht="27" customHeight="1" x14ac:dyDescent="0.2">
      <c r="A43" s="69"/>
      <c r="B43" s="51"/>
      <c r="C43" s="74"/>
      <c r="D43" s="51" t="s">
        <v>158</v>
      </c>
      <c r="E43" s="52" t="s">
        <v>183</v>
      </c>
      <c r="F43" s="53"/>
      <c r="G43" s="109">
        <f>-'Modello CE'!C209</f>
        <v>220000</v>
      </c>
      <c r="H43" s="109">
        <v>187170.22</v>
      </c>
      <c r="I43" s="109">
        <f t="shared" si="4"/>
        <v>32829.78</v>
      </c>
      <c r="J43" s="180">
        <f t="shared" si="5"/>
        <v>0.17540065935702806</v>
      </c>
    </row>
    <row r="44" spans="1:10" s="54" customFormat="1" ht="27" customHeight="1" x14ac:dyDescent="0.2">
      <c r="A44" s="69"/>
      <c r="B44" s="51"/>
      <c r="C44" s="74"/>
      <c r="D44" s="51" t="s">
        <v>184</v>
      </c>
      <c r="E44" s="52" t="s">
        <v>185</v>
      </c>
      <c r="F44" s="53"/>
      <c r="G44" s="109">
        <f>-'Modello CE'!C215</f>
        <v>4052272.5776208364</v>
      </c>
      <c r="H44" s="109">
        <v>4400500.0399999991</v>
      </c>
      <c r="I44" s="109">
        <f t="shared" si="4"/>
        <v>-348227.46237916267</v>
      </c>
      <c r="J44" s="180">
        <f t="shared" si="5"/>
        <v>-7.9133611910877907E-2</v>
      </c>
    </row>
    <row r="45" spans="1:10" s="54" customFormat="1" ht="27" customHeight="1" x14ac:dyDescent="0.2">
      <c r="A45" s="69"/>
      <c r="B45" s="51"/>
      <c r="C45" s="74"/>
      <c r="D45" s="51" t="s">
        <v>186</v>
      </c>
      <c r="E45" s="52" t="s">
        <v>187</v>
      </c>
      <c r="F45" s="53"/>
      <c r="G45" s="109">
        <f>-'Modello CE'!C220</f>
        <v>7793856.3399999999</v>
      </c>
      <c r="H45" s="109">
        <v>7723326.4699999997</v>
      </c>
      <c r="I45" s="109">
        <f t="shared" si="4"/>
        <v>70529.870000000112</v>
      </c>
      <c r="J45" s="180">
        <f t="shared" si="5"/>
        <v>9.1320586115272839E-3</v>
      </c>
    </row>
    <row r="46" spans="1:10" s="54" customFormat="1" ht="27" customHeight="1" x14ac:dyDescent="0.2">
      <c r="A46" s="69"/>
      <c r="B46" s="51"/>
      <c r="C46" s="74"/>
      <c r="D46" s="51" t="s">
        <v>188</v>
      </c>
      <c r="E46" s="52" t="s">
        <v>261</v>
      </c>
      <c r="F46" s="53"/>
      <c r="G46" s="109">
        <f>-'Modello CE'!C225</f>
        <v>321397712.63</v>
      </c>
      <c r="H46" s="109">
        <v>322045099.31999993</v>
      </c>
      <c r="I46" s="109">
        <f t="shared" si="4"/>
        <v>-647386.68999993801</v>
      </c>
      <c r="J46" s="180">
        <f t="shared" si="5"/>
        <v>-2.0102361171366952E-3</v>
      </c>
    </row>
    <row r="47" spans="1:10" s="54" customFormat="1" ht="27" customHeight="1" x14ac:dyDescent="0.2">
      <c r="A47" s="69"/>
      <c r="B47" s="51"/>
      <c r="C47" s="74"/>
      <c r="D47" s="51" t="s">
        <v>189</v>
      </c>
      <c r="E47" s="52" t="s">
        <v>190</v>
      </c>
      <c r="F47" s="53"/>
      <c r="G47" s="109">
        <f>-'Modello CE'!C235</f>
        <v>23071819</v>
      </c>
      <c r="H47" s="109">
        <v>22040875.41</v>
      </c>
      <c r="I47" s="109">
        <f t="shared" si="4"/>
        <v>1030943.5899999999</v>
      </c>
      <c r="J47" s="180">
        <f t="shared" si="5"/>
        <v>4.6774167124607864E-2</v>
      </c>
    </row>
    <row r="48" spans="1:10" s="54" customFormat="1" ht="27" customHeight="1" x14ac:dyDescent="0.2">
      <c r="A48" s="69"/>
      <c r="B48" s="51"/>
      <c r="C48" s="74"/>
      <c r="D48" s="51" t="s">
        <v>191</v>
      </c>
      <c r="E48" s="52" t="s">
        <v>192</v>
      </c>
      <c r="F48" s="53"/>
      <c r="G48" s="109">
        <f>-'Modello CE'!C241</f>
        <v>26246436.02</v>
      </c>
      <c r="H48" s="109">
        <v>25223889.950000003</v>
      </c>
      <c r="I48" s="109">
        <f t="shared" si="4"/>
        <v>1022546.0699999966</v>
      </c>
      <c r="J48" s="180">
        <f t="shared" si="5"/>
        <v>4.0538793660570838E-2</v>
      </c>
    </row>
    <row r="49" spans="1:10" s="54" customFormat="1" ht="27" customHeight="1" x14ac:dyDescent="0.2">
      <c r="A49" s="69"/>
      <c r="B49" s="51"/>
      <c r="C49" s="74"/>
      <c r="D49" s="51" t="s">
        <v>193</v>
      </c>
      <c r="E49" s="52" t="s">
        <v>194</v>
      </c>
      <c r="F49" s="53"/>
      <c r="G49" s="109">
        <f>-'Modello CE'!C248</f>
        <v>1565064</v>
      </c>
      <c r="H49" s="109">
        <v>1317658.28</v>
      </c>
      <c r="I49" s="109">
        <f t="shared" si="4"/>
        <v>247405.71999999997</v>
      </c>
      <c r="J49" s="180">
        <f t="shared" si="5"/>
        <v>0.18776167065105831</v>
      </c>
    </row>
    <row r="50" spans="1:10" s="54" customFormat="1" ht="27" customHeight="1" x14ac:dyDescent="0.2">
      <c r="A50" s="69"/>
      <c r="B50" s="51"/>
      <c r="C50" s="74"/>
      <c r="D50" s="51" t="s">
        <v>195</v>
      </c>
      <c r="E50" s="52" t="s">
        <v>196</v>
      </c>
      <c r="F50" s="53"/>
      <c r="G50" s="109">
        <f>-'Modello CE'!C254</f>
        <v>7297630</v>
      </c>
      <c r="H50" s="109">
        <v>7569822.6000000006</v>
      </c>
      <c r="I50" s="109">
        <f t="shared" si="4"/>
        <v>-272192.60000000056</v>
      </c>
      <c r="J50" s="180">
        <f t="shared" si="5"/>
        <v>-3.5957592982430071E-2</v>
      </c>
    </row>
    <row r="51" spans="1:10" s="54" customFormat="1" ht="27" customHeight="1" x14ac:dyDescent="0.2">
      <c r="A51" s="69"/>
      <c r="B51" s="51"/>
      <c r="C51" s="74"/>
      <c r="D51" s="51" t="s">
        <v>197</v>
      </c>
      <c r="E51" s="52" t="s">
        <v>198</v>
      </c>
      <c r="F51" s="53"/>
      <c r="G51" s="109">
        <f>-'Modello CE'!C259</f>
        <v>89692382.004999995</v>
      </c>
      <c r="H51" s="109">
        <v>94953299.219999999</v>
      </c>
      <c r="I51" s="109">
        <f t="shared" si="4"/>
        <v>-5260917.2150000036</v>
      </c>
      <c r="J51" s="180">
        <f t="shared" si="5"/>
        <v>-5.540531248746644E-2</v>
      </c>
    </row>
    <row r="52" spans="1:10" s="54" customFormat="1" ht="27" customHeight="1" x14ac:dyDescent="0.2">
      <c r="A52" s="69"/>
      <c r="B52" s="51"/>
      <c r="C52" s="74"/>
      <c r="D52" s="51" t="s">
        <v>199</v>
      </c>
      <c r="E52" s="52" t="s">
        <v>200</v>
      </c>
      <c r="F52" s="53"/>
      <c r="G52" s="109">
        <f>-'Modello CE'!C268</f>
        <v>4698333</v>
      </c>
      <c r="H52" s="109">
        <v>4738440.1599999992</v>
      </c>
      <c r="I52" s="109">
        <f t="shared" si="4"/>
        <v>-40107.159999999218</v>
      </c>
      <c r="J52" s="180">
        <f t="shared" si="5"/>
        <v>-8.4642115645075962E-3</v>
      </c>
    </row>
    <row r="53" spans="1:10" s="54" customFormat="1" ht="27" customHeight="1" x14ac:dyDescent="0.2">
      <c r="A53" s="69"/>
      <c r="B53" s="51"/>
      <c r="C53" s="74"/>
      <c r="D53" s="51" t="s">
        <v>201</v>
      </c>
      <c r="E53" s="52" t="s">
        <v>202</v>
      </c>
      <c r="F53" s="53"/>
      <c r="G53" s="109">
        <f>-'Modello CE'!C276</f>
        <v>11379859.09</v>
      </c>
      <c r="H53" s="109">
        <v>13437650.77</v>
      </c>
      <c r="I53" s="109">
        <f t="shared" si="4"/>
        <v>-2057791.6799999997</v>
      </c>
      <c r="J53" s="180">
        <f t="shared" si="5"/>
        <v>-0.15313626728520791</v>
      </c>
    </row>
    <row r="54" spans="1:10" s="54" customFormat="1" ht="27" customHeight="1" x14ac:dyDescent="0.2">
      <c r="A54" s="69"/>
      <c r="B54" s="75"/>
      <c r="C54" s="76"/>
      <c r="D54" s="51" t="s">
        <v>203</v>
      </c>
      <c r="E54" s="198" t="s">
        <v>204</v>
      </c>
      <c r="F54" s="199"/>
      <c r="G54" s="109">
        <f>-'Modello CE'!C284</f>
        <v>12328399.620000001</v>
      </c>
      <c r="H54" s="109">
        <v>13127545.639999999</v>
      </c>
      <c r="I54" s="109">
        <f t="shared" si="4"/>
        <v>-799146.01999999769</v>
      </c>
      <c r="J54" s="180">
        <f t="shared" si="5"/>
        <v>-6.0875508790080107E-2</v>
      </c>
    </row>
    <row r="55" spans="1:10" s="54" customFormat="1" ht="27" customHeight="1" x14ac:dyDescent="0.2">
      <c r="A55" s="69"/>
      <c r="B55" s="75"/>
      <c r="C55" s="76"/>
      <c r="D55" s="51" t="s">
        <v>205</v>
      </c>
      <c r="E55" s="76" t="s">
        <v>206</v>
      </c>
      <c r="F55" s="61"/>
      <c r="G55" s="109">
        <f>-'Modello CE'!C298</f>
        <v>35520222.240000002</v>
      </c>
      <c r="H55" s="109">
        <v>34673949.719999999</v>
      </c>
      <c r="I55" s="109">
        <f t="shared" si="4"/>
        <v>846272.52000000328</v>
      </c>
      <c r="J55" s="180">
        <f t="shared" si="5"/>
        <v>2.4406579776282935E-2</v>
      </c>
    </row>
    <row r="56" spans="1:10" s="54" customFormat="1" ht="27" customHeight="1" x14ac:dyDescent="0.2">
      <c r="A56" s="69"/>
      <c r="B56" s="75"/>
      <c r="C56" s="76"/>
      <c r="D56" s="51" t="s">
        <v>207</v>
      </c>
      <c r="E56" s="76" t="s">
        <v>208</v>
      </c>
      <c r="F56" s="61"/>
      <c r="G56" s="109">
        <f>-'Modello CE'!C306</f>
        <v>0</v>
      </c>
      <c r="H56" s="109">
        <v>0</v>
      </c>
      <c r="I56" s="109">
        <f t="shared" si="4"/>
        <v>0</v>
      </c>
      <c r="J56" s="180">
        <f t="shared" si="5"/>
        <v>0</v>
      </c>
    </row>
    <row r="57" spans="1:10" s="54" customFormat="1" ht="27" customHeight="1" x14ac:dyDescent="0.2">
      <c r="A57" s="69"/>
      <c r="B57" s="47" t="s">
        <v>144</v>
      </c>
      <c r="C57" s="48" t="s">
        <v>209</v>
      </c>
      <c r="D57" s="77"/>
      <c r="E57" s="78"/>
      <c r="F57" s="79"/>
      <c r="G57" s="114">
        <f>SUM(G58:G60)</f>
        <v>71216843.741816252</v>
      </c>
      <c r="H57" s="114">
        <v>50875487.32</v>
      </c>
      <c r="I57" s="114">
        <f t="shared" si="4"/>
        <v>20341356.421816252</v>
      </c>
      <c r="J57" s="181">
        <f t="shared" si="5"/>
        <v>0.39982627181282498</v>
      </c>
    </row>
    <row r="58" spans="1:10" s="54" customFormat="1" ht="27" customHeight="1" x14ac:dyDescent="0.2">
      <c r="A58" s="69"/>
      <c r="B58" s="47"/>
      <c r="C58" s="48"/>
      <c r="D58" s="51" t="s">
        <v>137</v>
      </c>
      <c r="E58" s="76" t="s">
        <v>210</v>
      </c>
      <c r="F58" s="79"/>
      <c r="G58" s="109">
        <f>-'Modello CE'!C308</f>
        <v>68943324.881816253</v>
      </c>
      <c r="H58" s="109">
        <v>47758050.450000003</v>
      </c>
      <c r="I58" s="109">
        <f t="shared" si="4"/>
        <v>21185274.43181625</v>
      </c>
      <c r="J58" s="180">
        <f t="shared" si="5"/>
        <v>0.4435958803217071</v>
      </c>
    </row>
    <row r="59" spans="1:10" s="54" customFormat="1" ht="27" customHeight="1" x14ac:dyDescent="0.2">
      <c r="A59" s="69"/>
      <c r="B59" s="80"/>
      <c r="C59" s="51"/>
      <c r="D59" s="51" t="s">
        <v>139</v>
      </c>
      <c r="E59" s="76" t="s">
        <v>262</v>
      </c>
      <c r="F59" s="79"/>
      <c r="G59" s="109">
        <f>-'Modello CE'!C328</f>
        <v>1848518.8599999999</v>
      </c>
      <c r="H59" s="109">
        <v>2607115.23</v>
      </c>
      <c r="I59" s="109">
        <f t="shared" si="4"/>
        <v>-758596.37000000011</v>
      </c>
      <c r="J59" s="180">
        <f t="shared" si="5"/>
        <v>-0.29097155402678543</v>
      </c>
    </row>
    <row r="60" spans="1:10" s="54" customFormat="1" ht="27" customHeight="1" x14ac:dyDescent="0.2">
      <c r="A60" s="69"/>
      <c r="B60" s="80"/>
      <c r="C60" s="51"/>
      <c r="D60" s="51" t="s">
        <v>152</v>
      </c>
      <c r="E60" s="76" t="s">
        <v>211</v>
      </c>
      <c r="F60" s="79"/>
      <c r="G60" s="109">
        <f>-'Modello CE'!C342</f>
        <v>425000</v>
      </c>
      <c r="H60" s="109">
        <v>510321.64</v>
      </c>
      <c r="I60" s="109">
        <f t="shared" si="4"/>
        <v>-85321.640000000014</v>
      </c>
      <c r="J60" s="180">
        <f t="shared" si="5"/>
        <v>-0.16719189098075482</v>
      </c>
    </row>
    <row r="61" spans="1:10" s="54" customFormat="1" ht="27" customHeight="1" x14ac:dyDescent="0.2">
      <c r="A61" s="69"/>
      <c r="B61" s="47" t="s">
        <v>146</v>
      </c>
      <c r="C61" s="81" t="s">
        <v>212</v>
      </c>
      <c r="D61" s="51"/>
      <c r="E61" s="82"/>
      <c r="F61" s="83"/>
      <c r="G61" s="110">
        <f>-'Modello CE'!C345</f>
        <v>14791666.98</v>
      </c>
      <c r="H61" s="110">
        <v>12778419.529999999</v>
      </c>
      <c r="I61" s="110">
        <f t="shared" si="4"/>
        <v>2013247.4500000011</v>
      </c>
      <c r="J61" s="181">
        <f t="shared" si="5"/>
        <v>0.15755058325276328</v>
      </c>
    </row>
    <row r="62" spans="1:10" s="45" customFormat="1" ht="27" customHeight="1" x14ac:dyDescent="0.2">
      <c r="A62" s="69"/>
      <c r="B62" s="47" t="s">
        <v>148</v>
      </c>
      <c r="C62" s="81" t="s">
        <v>213</v>
      </c>
      <c r="D62" s="47"/>
      <c r="E62" s="78"/>
      <c r="F62" s="79"/>
      <c r="G62" s="110">
        <f>-'Modello CE'!C353</f>
        <v>6572700</v>
      </c>
      <c r="H62" s="110">
        <v>5307036.24</v>
      </c>
      <c r="I62" s="110">
        <f t="shared" si="4"/>
        <v>1265663.7599999998</v>
      </c>
      <c r="J62" s="181">
        <f t="shared" si="5"/>
        <v>0.23848786832478833</v>
      </c>
    </row>
    <row r="63" spans="1:10" s="45" customFormat="1" ht="27" customHeight="1" x14ac:dyDescent="0.2">
      <c r="A63" s="69"/>
      <c r="B63" s="47" t="s">
        <v>150</v>
      </c>
      <c r="C63" s="81" t="s">
        <v>214</v>
      </c>
      <c r="D63" s="71"/>
      <c r="E63" s="81"/>
      <c r="F63" s="83"/>
      <c r="G63" s="114">
        <f>SUM(G64:G68)</f>
        <v>259684809.79288375</v>
      </c>
      <c r="H63" s="114">
        <v>266692427.03</v>
      </c>
      <c r="I63" s="114">
        <f t="shared" si="4"/>
        <v>-7007617.2371162474</v>
      </c>
      <c r="J63" s="181">
        <f t="shared" si="5"/>
        <v>-2.627602633924047E-2</v>
      </c>
    </row>
    <row r="64" spans="1:10" s="54" customFormat="1" ht="27" customHeight="1" x14ac:dyDescent="0.2">
      <c r="A64" s="69"/>
      <c r="B64" s="51"/>
      <c r="C64" s="82"/>
      <c r="D64" s="51" t="s">
        <v>137</v>
      </c>
      <c r="E64" s="52" t="s">
        <v>215</v>
      </c>
      <c r="F64" s="84"/>
      <c r="G64" s="109">
        <f>-'Modello CE'!C366</f>
        <v>79827991.815555483</v>
      </c>
      <c r="H64" s="109">
        <v>77489155.25</v>
      </c>
      <c r="I64" s="109">
        <f t="shared" si="4"/>
        <v>2338836.5655554831</v>
      </c>
      <c r="J64" s="180">
        <f t="shared" si="5"/>
        <v>3.0182759871491605E-2</v>
      </c>
    </row>
    <row r="65" spans="1:10" s="54" customFormat="1" ht="27" customHeight="1" x14ac:dyDescent="0.2">
      <c r="A65" s="69"/>
      <c r="B65" s="51"/>
      <c r="C65" s="82"/>
      <c r="D65" s="51" t="s">
        <v>139</v>
      </c>
      <c r="E65" s="52" t="s">
        <v>216</v>
      </c>
      <c r="F65" s="84"/>
      <c r="G65" s="109">
        <f>-'Modello CE'!C370</f>
        <v>12929229.743098816</v>
      </c>
      <c r="H65" s="109">
        <v>12794259.1</v>
      </c>
      <c r="I65" s="109">
        <f t="shared" si="4"/>
        <v>134970.64309881628</v>
      </c>
      <c r="J65" s="180">
        <f t="shared" si="5"/>
        <v>1.0549312941365732E-2</v>
      </c>
    </row>
    <row r="66" spans="1:10" s="54" customFormat="1" ht="27" customHeight="1" x14ac:dyDescent="0.2">
      <c r="A66" s="69"/>
      <c r="B66" s="51"/>
      <c r="C66" s="82"/>
      <c r="D66" s="51" t="s">
        <v>152</v>
      </c>
      <c r="E66" s="52" t="s">
        <v>217</v>
      </c>
      <c r="F66" s="84"/>
      <c r="G66" s="109">
        <f>-'Modello CE'!C374</f>
        <v>114385004.13939084</v>
      </c>
      <c r="H66" s="109">
        <v>122143070.91</v>
      </c>
      <c r="I66" s="109">
        <f t="shared" si="4"/>
        <v>-7758066.7706091553</v>
      </c>
      <c r="J66" s="180">
        <f t="shared" si="5"/>
        <v>-6.3516224971333954E-2</v>
      </c>
    </row>
    <row r="67" spans="1:10" s="54" customFormat="1" ht="27" customHeight="1" x14ac:dyDescent="0.2">
      <c r="A67" s="69"/>
      <c r="B67" s="51"/>
      <c r="C67" s="82"/>
      <c r="D67" s="51" t="s">
        <v>158</v>
      </c>
      <c r="E67" s="52" t="s">
        <v>218</v>
      </c>
      <c r="F67" s="84"/>
      <c r="G67" s="109">
        <f>-'Modello CE'!C379-'Modello CE'!C388-'Modello CE'!C397</f>
        <v>5068619.0526666418</v>
      </c>
      <c r="H67" s="109">
        <v>4912779.0299999993</v>
      </c>
      <c r="I67" s="109">
        <f t="shared" si="4"/>
        <v>155840.02266664244</v>
      </c>
      <c r="J67" s="180">
        <f t="shared" si="5"/>
        <v>3.1721358057222142E-2</v>
      </c>
    </row>
    <row r="68" spans="1:10" s="54" customFormat="1" ht="27" customHeight="1" x14ac:dyDescent="0.2">
      <c r="A68" s="69"/>
      <c r="B68" s="51"/>
      <c r="C68" s="82"/>
      <c r="D68" s="51" t="s">
        <v>184</v>
      </c>
      <c r="E68" s="52" t="s">
        <v>219</v>
      </c>
      <c r="F68" s="84"/>
      <c r="G68" s="109">
        <f>-'Modello CE'!C392-'Modello CE'!C401</f>
        <v>47473965.042172</v>
      </c>
      <c r="H68" s="109">
        <v>49353162.740000002</v>
      </c>
      <c r="I68" s="109">
        <f t="shared" si="4"/>
        <v>-1879197.6978280023</v>
      </c>
      <c r="J68" s="180">
        <f t="shared" si="5"/>
        <v>-3.8076540458570056E-2</v>
      </c>
    </row>
    <row r="69" spans="1:10" s="54" customFormat="1" ht="27" customHeight="1" x14ac:dyDescent="0.2">
      <c r="A69" s="69"/>
      <c r="B69" s="47" t="s">
        <v>168</v>
      </c>
      <c r="C69" s="81" t="s">
        <v>220</v>
      </c>
      <c r="D69" s="85"/>
      <c r="E69" s="78"/>
      <c r="F69" s="79"/>
      <c r="G69" s="109">
        <f>-'Modello CE'!C405</f>
        <v>19704226.82</v>
      </c>
      <c r="H69" s="109">
        <v>17595215.66</v>
      </c>
      <c r="I69" s="109">
        <f t="shared" si="4"/>
        <v>2109011.16</v>
      </c>
      <c r="J69" s="180">
        <f t="shared" si="5"/>
        <v>0.11986276273922068</v>
      </c>
    </row>
    <row r="70" spans="1:10" s="45" customFormat="1" ht="27" customHeight="1" x14ac:dyDescent="0.2">
      <c r="A70" s="69"/>
      <c r="B70" s="47" t="s">
        <v>170</v>
      </c>
      <c r="C70" s="81" t="s">
        <v>221</v>
      </c>
      <c r="D70" s="71"/>
      <c r="E70" s="81"/>
      <c r="F70" s="83"/>
      <c r="G70" s="114">
        <f>SUM(G71:G73)</f>
        <v>17771776</v>
      </c>
      <c r="H70" s="114">
        <v>17998070.760000002</v>
      </c>
      <c r="I70" s="114">
        <f t="shared" si="4"/>
        <v>-226294.76000000164</v>
      </c>
      <c r="J70" s="181">
        <f t="shared" si="5"/>
        <v>-1.2573278715123887E-2</v>
      </c>
    </row>
    <row r="71" spans="1:10" s="54" customFormat="1" ht="27" customHeight="1" x14ac:dyDescent="0.2">
      <c r="A71" s="69"/>
      <c r="B71" s="51"/>
      <c r="C71" s="82"/>
      <c r="D71" s="51" t="s">
        <v>137</v>
      </c>
      <c r="E71" s="52" t="s">
        <v>222</v>
      </c>
      <c r="F71" s="84"/>
      <c r="G71" s="109">
        <f>-'Modello CE'!C414</f>
        <v>2000000</v>
      </c>
      <c r="H71" s="109">
        <v>2025292.43</v>
      </c>
      <c r="I71" s="109">
        <f t="shared" si="4"/>
        <v>-25292.429999999935</v>
      </c>
      <c r="J71" s="180">
        <f t="shared" si="5"/>
        <v>-1.2488285457127758E-2</v>
      </c>
    </row>
    <row r="72" spans="1:10" s="45" customFormat="1" ht="27" customHeight="1" x14ac:dyDescent="0.2">
      <c r="A72" s="64"/>
      <c r="B72" s="47"/>
      <c r="C72" s="81"/>
      <c r="D72" s="51" t="s">
        <v>139</v>
      </c>
      <c r="E72" s="52" t="s">
        <v>223</v>
      </c>
      <c r="F72" s="83"/>
      <c r="G72" s="109">
        <f>-'Modello CE'!C416</f>
        <v>9461776</v>
      </c>
      <c r="H72" s="109">
        <v>9488717.1400000006</v>
      </c>
      <c r="I72" s="109">
        <f t="shared" si="4"/>
        <v>-26941.140000000596</v>
      </c>
      <c r="J72" s="180">
        <f t="shared" si="5"/>
        <v>-2.8392816017698882E-3</v>
      </c>
    </row>
    <row r="73" spans="1:10" s="45" customFormat="1" ht="27" customHeight="1" x14ac:dyDescent="0.2">
      <c r="A73" s="64"/>
      <c r="B73" s="47"/>
      <c r="C73" s="81"/>
      <c r="D73" s="51" t="s">
        <v>152</v>
      </c>
      <c r="E73" s="52" t="s">
        <v>224</v>
      </c>
      <c r="F73" s="83"/>
      <c r="G73" s="109">
        <f>-'Modello CE'!C415+'Modello CE'!C416</f>
        <v>6310000</v>
      </c>
      <c r="H73" s="109">
        <v>6484061.1900000013</v>
      </c>
      <c r="I73" s="109">
        <f t="shared" si="4"/>
        <v>-174061.19000000134</v>
      </c>
      <c r="J73" s="180">
        <f t="shared" si="5"/>
        <v>-2.6844470602536263E-2</v>
      </c>
    </row>
    <row r="74" spans="1:10" s="45" customFormat="1" ht="27" customHeight="1" x14ac:dyDescent="0.2">
      <c r="A74" s="64"/>
      <c r="B74" s="47" t="s">
        <v>172</v>
      </c>
      <c r="C74" s="81" t="s">
        <v>225</v>
      </c>
      <c r="D74" s="71"/>
      <c r="E74" s="81"/>
      <c r="F74" s="83"/>
      <c r="G74" s="110">
        <f>-'Modello CE'!C420</f>
        <v>500000</v>
      </c>
      <c r="H74" s="110">
        <v>1260000</v>
      </c>
      <c r="I74" s="110">
        <f t="shared" si="4"/>
        <v>-760000</v>
      </c>
      <c r="J74" s="181">
        <f t="shared" si="5"/>
        <v>-0.60317460317460314</v>
      </c>
    </row>
    <row r="75" spans="1:10" s="45" customFormat="1" ht="27" customHeight="1" x14ac:dyDescent="0.2">
      <c r="A75" s="64"/>
      <c r="B75" s="47" t="s">
        <v>226</v>
      </c>
      <c r="C75" s="81" t="s">
        <v>227</v>
      </c>
      <c r="D75" s="71"/>
      <c r="E75" s="81"/>
      <c r="F75" s="83"/>
      <c r="G75" s="114">
        <f>SUM(G76:G77)</f>
        <v>0</v>
      </c>
      <c r="H75" s="114">
        <v>-245861.69999999832</v>
      </c>
      <c r="I75" s="114">
        <f t="shared" si="4"/>
        <v>245861.69999999832</v>
      </c>
      <c r="J75" s="181">
        <f t="shared" si="5"/>
        <v>-1</v>
      </c>
    </row>
    <row r="76" spans="1:10" s="54" customFormat="1" ht="27" customHeight="1" x14ac:dyDescent="0.2">
      <c r="A76" s="86"/>
      <c r="B76" s="75"/>
      <c r="C76" s="82"/>
      <c r="D76" s="51" t="s">
        <v>137</v>
      </c>
      <c r="E76" s="82" t="s">
        <v>228</v>
      </c>
      <c r="F76" s="84"/>
      <c r="G76" s="109">
        <f>-'Modello CE'!C424</f>
        <v>0</v>
      </c>
      <c r="H76" s="109">
        <v>-6004821.7400000002</v>
      </c>
      <c r="I76" s="109">
        <f t="shared" si="4"/>
        <v>6004821.7400000002</v>
      </c>
      <c r="J76" s="180">
        <f t="shared" si="5"/>
        <v>-1</v>
      </c>
    </row>
    <row r="77" spans="1:10" s="54" customFormat="1" ht="27" customHeight="1" x14ac:dyDescent="0.2">
      <c r="A77" s="86"/>
      <c r="B77" s="75"/>
      <c r="C77" s="82"/>
      <c r="D77" s="51" t="s">
        <v>139</v>
      </c>
      <c r="E77" s="82" t="s">
        <v>229</v>
      </c>
      <c r="F77" s="84"/>
      <c r="G77" s="109">
        <f>-'Modello CE'!C433</f>
        <v>0</v>
      </c>
      <c r="H77" s="109">
        <v>5758960.0400000019</v>
      </c>
      <c r="I77" s="109">
        <f t="shared" si="4"/>
        <v>-5758960.0400000019</v>
      </c>
      <c r="J77" s="180">
        <f t="shared" si="5"/>
        <v>-1</v>
      </c>
    </row>
    <row r="78" spans="1:10" s="45" customFormat="1" ht="27" customHeight="1" x14ac:dyDescent="0.2">
      <c r="A78" s="86"/>
      <c r="B78" s="47" t="s">
        <v>230</v>
      </c>
      <c r="C78" s="81" t="s">
        <v>231</v>
      </c>
      <c r="D78" s="71"/>
      <c r="E78" s="81"/>
      <c r="F78" s="83"/>
      <c r="G78" s="114">
        <f>SUM(G79:G82)</f>
        <v>15247003.909999996</v>
      </c>
      <c r="H78" s="114">
        <v>15461390.960000001</v>
      </c>
      <c r="I78" s="114">
        <f t="shared" si="4"/>
        <v>-214387.05000000447</v>
      </c>
      <c r="J78" s="181">
        <f t="shared" si="5"/>
        <v>-1.386596138436981E-2</v>
      </c>
    </row>
    <row r="79" spans="1:10" s="54" customFormat="1" ht="27" customHeight="1" x14ac:dyDescent="0.2">
      <c r="A79" s="86"/>
      <c r="B79" s="75"/>
      <c r="C79" s="82"/>
      <c r="D79" s="51" t="s">
        <v>137</v>
      </c>
      <c r="E79" s="82" t="s">
        <v>232</v>
      </c>
      <c r="F79" s="84"/>
      <c r="G79" s="109">
        <f>-'Modello CE'!C441</f>
        <v>1437877</v>
      </c>
      <c r="H79" s="109">
        <v>2580946.88</v>
      </c>
      <c r="I79" s="109">
        <f t="shared" si="4"/>
        <v>-1143069.8799999999</v>
      </c>
      <c r="J79" s="180">
        <f t="shared" si="5"/>
        <v>-0.44288779783022886</v>
      </c>
    </row>
    <row r="80" spans="1:10" s="54" customFormat="1" ht="27" customHeight="1" x14ac:dyDescent="0.2">
      <c r="A80" s="86"/>
      <c r="B80" s="75"/>
      <c r="C80" s="82"/>
      <c r="D80" s="51" t="s">
        <v>139</v>
      </c>
      <c r="E80" s="82" t="s">
        <v>233</v>
      </c>
      <c r="F80" s="84"/>
      <c r="G80" s="109">
        <f>-'Modello CE'!C449</f>
        <v>998963</v>
      </c>
      <c r="H80" s="109">
        <v>872518.83</v>
      </c>
      <c r="I80" s="109">
        <f t="shared" si="4"/>
        <v>126444.17000000004</v>
      </c>
      <c r="J80" s="180">
        <f t="shared" si="5"/>
        <v>0.14491855723044975</v>
      </c>
    </row>
    <row r="81" spans="1:10" s="54" customFormat="1" ht="27" customHeight="1" x14ac:dyDescent="0.2">
      <c r="A81" s="86"/>
      <c r="B81" s="75"/>
      <c r="C81" s="82"/>
      <c r="D81" s="51" t="s">
        <v>152</v>
      </c>
      <c r="E81" s="82" t="s">
        <v>234</v>
      </c>
      <c r="F81" s="84"/>
      <c r="G81" s="109">
        <f>-'Modello CE'!C450</f>
        <v>2743850</v>
      </c>
      <c r="H81" s="109">
        <v>5484615.0800000001</v>
      </c>
      <c r="I81" s="109">
        <f t="shared" si="4"/>
        <v>-2740765.08</v>
      </c>
      <c r="J81" s="180">
        <f t="shared" si="5"/>
        <v>-0.4997187660432863</v>
      </c>
    </row>
    <row r="82" spans="1:10" s="54" customFormat="1" ht="27" customHeight="1" x14ac:dyDescent="0.2">
      <c r="A82" s="86"/>
      <c r="B82" s="75"/>
      <c r="C82" s="82"/>
      <c r="D82" s="51" t="s">
        <v>158</v>
      </c>
      <c r="E82" s="82" t="s">
        <v>235</v>
      </c>
      <c r="F82" s="84"/>
      <c r="G82" s="109">
        <f>-'Modello CE'!C457</f>
        <v>10066313.909999996</v>
      </c>
      <c r="H82" s="109">
        <v>6523310.1700000009</v>
      </c>
      <c r="I82" s="109">
        <f t="shared" si="4"/>
        <v>3543003.7399999956</v>
      </c>
      <c r="J82" s="180">
        <f t="shared" si="5"/>
        <v>0.54312973745965465</v>
      </c>
    </row>
    <row r="83" spans="1:10" s="45" customFormat="1" ht="27" customHeight="1" x14ac:dyDescent="0.2">
      <c r="A83" s="68"/>
      <c r="B83" s="196" t="s">
        <v>266</v>
      </c>
      <c r="C83" s="196"/>
      <c r="D83" s="196"/>
      <c r="E83" s="196"/>
      <c r="F83" s="197"/>
      <c r="G83" s="115">
        <f>G36+G39+G57+G61+G62+G63+G69+G70+G74+G75+G78</f>
        <v>1411871735.3209572</v>
      </c>
      <c r="H83" s="115">
        <v>1391295904.4100001</v>
      </c>
      <c r="I83" s="115">
        <f t="shared" si="4"/>
        <v>20575830.910957098</v>
      </c>
      <c r="J83" s="179">
        <f t="shared" si="5"/>
        <v>1.4788968217140399E-2</v>
      </c>
    </row>
    <row r="84" spans="1:10" s="54" customFormat="1" ht="9" customHeight="1" thickBot="1" x14ac:dyDescent="0.25">
      <c r="A84" s="86"/>
      <c r="B84" s="51"/>
      <c r="C84" s="82"/>
      <c r="D84" s="76"/>
      <c r="E84" s="82"/>
      <c r="F84" s="84"/>
      <c r="G84" s="109"/>
      <c r="H84" s="109"/>
      <c r="I84" s="109"/>
      <c r="J84" s="180"/>
    </row>
    <row r="85" spans="1:10" s="87" customFormat="1" ht="27" customHeight="1" thickTop="1" thickBot="1" x14ac:dyDescent="0.25">
      <c r="A85" s="189" t="s">
        <v>653</v>
      </c>
      <c r="B85" s="190"/>
      <c r="C85" s="190"/>
      <c r="D85" s="190"/>
      <c r="E85" s="190"/>
      <c r="F85" s="191"/>
      <c r="G85" s="116">
        <f>G33-G83</f>
        <v>-56165125.449572563</v>
      </c>
      <c r="H85" s="116">
        <v>-18067290.620000601</v>
      </c>
      <c r="I85" s="116">
        <f t="shared" ref="I85" si="6">G85-H85</f>
        <v>-38097834.829571962</v>
      </c>
      <c r="J85" s="182">
        <f t="shared" ref="J85" si="7">IFERROR(I85/H85,0)</f>
        <v>2.1086634200369492</v>
      </c>
    </row>
    <row r="86" spans="1:10" s="87" customFormat="1" ht="9" customHeight="1" thickTop="1" x14ac:dyDescent="0.2">
      <c r="A86" s="88"/>
      <c r="B86" s="89"/>
      <c r="C86" s="89"/>
      <c r="D86" s="90"/>
      <c r="E86" s="91"/>
      <c r="F86" s="92"/>
      <c r="G86" s="113"/>
      <c r="H86" s="113"/>
      <c r="I86" s="113"/>
      <c r="J86" s="183"/>
    </row>
    <row r="87" spans="1:10" s="45" customFormat="1" ht="27" customHeight="1" x14ac:dyDescent="0.2">
      <c r="A87" s="46" t="s">
        <v>236</v>
      </c>
      <c r="B87" s="70" t="s">
        <v>237</v>
      </c>
      <c r="C87" s="71"/>
      <c r="D87" s="70"/>
      <c r="E87" s="81"/>
      <c r="F87" s="83"/>
      <c r="G87" s="110"/>
      <c r="H87" s="110"/>
      <c r="I87" s="110">
        <f t="shared" ref="I87:I90" si="8">G87-H87</f>
        <v>0</v>
      </c>
      <c r="J87" s="181">
        <f t="shared" ref="J87:J90" si="9">IFERROR(I87/H87,0)</f>
        <v>0</v>
      </c>
    </row>
    <row r="88" spans="1:10" s="45" customFormat="1" ht="27" customHeight="1" x14ac:dyDescent="0.2">
      <c r="A88" s="64"/>
      <c r="B88" s="47" t="s">
        <v>135</v>
      </c>
      <c r="C88" s="81" t="s">
        <v>238</v>
      </c>
      <c r="D88" s="71"/>
      <c r="E88" s="81"/>
      <c r="F88" s="83"/>
      <c r="G88" s="110">
        <f>+'Modello CE'!C470+'Modello CE'!C474</f>
        <v>0</v>
      </c>
      <c r="H88" s="110">
        <v>1005.02</v>
      </c>
      <c r="I88" s="110">
        <f t="shared" si="8"/>
        <v>-1005.02</v>
      </c>
      <c r="J88" s="181">
        <f t="shared" si="9"/>
        <v>-1</v>
      </c>
    </row>
    <row r="89" spans="1:10" s="45" customFormat="1" ht="27" customHeight="1" x14ac:dyDescent="0.2">
      <c r="A89" s="64"/>
      <c r="B89" s="47" t="s">
        <v>142</v>
      </c>
      <c r="C89" s="81" t="s">
        <v>239</v>
      </c>
      <c r="D89" s="71"/>
      <c r="E89" s="81"/>
      <c r="F89" s="83"/>
      <c r="G89" s="110">
        <f>-'Modello CE'!C480-'Modello CE'!C484</f>
        <v>1415600</v>
      </c>
      <c r="H89" s="110">
        <v>1444956.81</v>
      </c>
      <c r="I89" s="110">
        <f t="shared" si="8"/>
        <v>-29356.810000000056</v>
      </c>
      <c r="J89" s="181">
        <f t="shared" si="9"/>
        <v>-2.0316738740447236E-2</v>
      </c>
    </row>
    <row r="90" spans="1:10" s="45" customFormat="1" ht="27" customHeight="1" x14ac:dyDescent="0.2">
      <c r="A90" s="68"/>
      <c r="B90" s="196" t="s">
        <v>267</v>
      </c>
      <c r="C90" s="196"/>
      <c r="D90" s="196"/>
      <c r="E90" s="196"/>
      <c r="F90" s="197"/>
      <c r="G90" s="115">
        <f>+G88-G89</f>
        <v>-1415600</v>
      </c>
      <c r="H90" s="115">
        <v>-1443951.79</v>
      </c>
      <c r="I90" s="115">
        <f t="shared" si="8"/>
        <v>28351.790000000037</v>
      </c>
      <c r="J90" s="179">
        <f t="shared" si="9"/>
        <v>-1.9634859138891358E-2</v>
      </c>
    </row>
    <row r="91" spans="1:10" s="54" customFormat="1" ht="9" customHeight="1" x14ac:dyDescent="0.2">
      <c r="A91" s="69"/>
      <c r="B91" s="51"/>
      <c r="C91" s="82"/>
      <c r="D91" s="74"/>
      <c r="E91" s="82"/>
      <c r="F91" s="84"/>
      <c r="G91" s="109"/>
      <c r="H91" s="109"/>
      <c r="I91" s="109"/>
      <c r="J91" s="180"/>
    </row>
    <row r="92" spans="1:10" s="45" customFormat="1" ht="27" customHeight="1" x14ac:dyDescent="0.2">
      <c r="A92" s="46" t="s">
        <v>240</v>
      </c>
      <c r="B92" s="70" t="s">
        <v>241</v>
      </c>
      <c r="C92" s="71"/>
      <c r="D92" s="48"/>
      <c r="E92" s="81"/>
      <c r="F92" s="83"/>
      <c r="G92" s="110"/>
      <c r="H92" s="110"/>
      <c r="I92" s="110">
        <f t="shared" ref="I92:I118" si="10">G92-H92</f>
        <v>0</v>
      </c>
      <c r="J92" s="181">
        <f t="shared" ref="J92:J118" si="11">IFERROR(I92/H92,0)</f>
        <v>0</v>
      </c>
    </row>
    <row r="93" spans="1:10" s="45" customFormat="1" ht="27" customHeight="1" x14ac:dyDescent="0.2">
      <c r="A93" s="64"/>
      <c r="B93" s="47" t="s">
        <v>135</v>
      </c>
      <c r="C93" s="70" t="s">
        <v>242</v>
      </c>
      <c r="D93" s="71"/>
      <c r="E93" s="48"/>
      <c r="F93" s="49"/>
      <c r="G93" s="110">
        <f>+'Modello CE'!C489</f>
        <v>0</v>
      </c>
      <c r="H93" s="110">
        <v>0</v>
      </c>
      <c r="I93" s="110">
        <f t="shared" si="10"/>
        <v>0</v>
      </c>
      <c r="J93" s="181">
        <f t="shared" si="11"/>
        <v>0</v>
      </c>
    </row>
    <row r="94" spans="1:10" s="45" customFormat="1" ht="27" customHeight="1" x14ac:dyDescent="0.2">
      <c r="A94" s="64"/>
      <c r="B94" s="47" t="s">
        <v>142</v>
      </c>
      <c r="C94" s="70" t="s">
        <v>243</v>
      </c>
      <c r="D94" s="71"/>
      <c r="E94" s="48"/>
      <c r="F94" s="49"/>
      <c r="G94" s="110">
        <f>'Modello CE'!C490</f>
        <v>0</v>
      </c>
      <c r="H94" s="110">
        <v>-4410.3599999999997</v>
      </c>
      <c r="I94" s="110">
        <f t="shared" si="10"/>
        <v>4410.3599999999997</v>
      </c>
      <c r="J94" s="181">
        <f t="shared" si="11"/>
        <v>-1</v>
      </c>
    </row>
    <row r="95" spans="1:10" s="45" customFormat="1" ht="27" customHeight="1" x14ac:dyDescent="0.2">
      <c r="A95" s="68"/>
      <c r="B95" s="196" t="s">
        <v>913</v>
      </c>
      <c r="C95" s="196"/>
      <c r="D95" s="196"/>
      <c r="E95" s="196"/>
      <c r="F95" s="197"/>
      <c r="G95" s="111">
        <f>G93+G94</f>
        <v>0</v>
      </c>
      <c r="H95" s="111">
        <v>-4410.3599999999997</v>
      </c>
      <c r="I95" s="111">
        <f t="shared" si="10"/>
        <v>4410.3599999999997</v>
      </c>
      <c r="J95" s="179">
        <f t="shared" si="11"/>
        <v>-1</v>
      </c>
    </row>
    <row r="96" spans="1:10" s="54" customFormat="1" ht="9" customHeight="1" x14ac:dyDescent="0.2">
      <c r="A96" s="69"/>
      <c r="B96" s="51"/>
      <c r="C96" s="76"/>
      <c r="D96" s="74"/>
      <c r="E96" s="52"/>
      <c r="F96" s="53"/>
      <c r="G96" s="109"/>
      <c r="H96" s="109"/>
      <c r="I96" s="109"/>
      <c r="J96" s="180"/>
    </row>
    <row r="97" spans="1:10" s="45" customFormat="1" ht="27" customHeight="1" x14ac:dyDescent="0.2">
      <c r="A97" s="46" t="s">
        <v>244</v>
      </c>
      <c r="B97" s="70" t="s">
        <v>245</v>
      </c>
      <c r="C97" s="71"/>
      <c r="D97" s="48"/>
      <c r="E97" s="81"/>
      <c r="F97" s="83"/>
      <c r="G97" s="110"/>
      <c r="H97" s="110"/>
      <c r="I97" s="110">
        <f t="shared" si="10"/>
        <v>0</v>
      </c>
      <c r="J97" s="181">
        <f t="shared" si="11"/>
        <v>0</v>
      </c>
    </row>
    <row r="98" spans="1:10" s="45" customFormat="1" ht="27" customHeight="1" x14ac:dyDescent="0.2">
      <c r="A98" s="64"/>
      <c r="B98" s="47" t="s">
        <v>135</v>
      </c>
      <c r="C98" s="70" t="s">
        <v>246</v>
      </c>
      <c r="D98" s="71"/>
      <c r="E98" s="48"/>
      <c r="F98" s="49"/>
      <c r="G98" s="114">
        <f>SUM(G99:G100)</f>
        <v>2144942.0800000001</v>
      </c>
      <c r="H98" s="114">
        <v>41841637.979999997</v>
      </c>
      <c r="I98" s="114">
        <f t="shared" si="10"/>
        <v>-39696695.899999999</v>
      </c>
      <c r="J98" s="181">
        <f t="shared" si="11"/>
        <v>-0.94873666081081087</v>
      </c>
    </row>
    <row r="99" spans="1:10" s="54" customFormat="1" ht="27" customHeight="1" x14ac:dyDescent="0.2">
      <c r="A99" s="69"/>
      <c r="B99" s="75"/>
      <c r="C99" s="82"/>
      <c r="D99" s="51" t="s">
        <v>137</v>
      </c>
      <c r="E99" s="76" t="s">
        <v>247</v>
      </c>
      <c r="F99" s="84"/>
      <c r="G99" s="109">
        <f>+'Modello CE'!C494</f>
        <v>0</v>
      </c>
      <c r="H99" s="109">
        <v>2010</v>
      </c>
      <c r="I99" s="109">
        <f t="shared" si="10"/>
        <v>-2010</v>
      </c>
      <c r="J99" s="180">
        <f t="shared" si="11"/>
        <v>-1</v>
      </c>
    </row>
    <row r="100" spans="1:10" s="54" customFormat="1" ht="27" customHeight="1" x14ac:dyDescent="0.2">
      <c r="A100" s="69"/>
      <c r="B100" s="75"/>
      <c r="C100" s="82"/>
      <c r="D100" s="51" t="s">
        <v>139</v>
      </c>
      <c r="E100" s="82" t="s">
        <v>248</v>
      </c>
      <c r="F100" s="84"/>
      <c r="G100" s="109">
        <f>+'Modello CE'!C495</f>
        <v>2144942.0800000001</v>
      </c>
      <c r="H100" s="109">
        <v>41839627.979999997</v>
      </c>
      <c r="I100" s="109">
        <f t="shared" si="10"/>
        <v>-39694685.899999999</v>
      </c>
      <c r="J100" s="180">
        <f t="shared" si="11"/>
        <v>-0.9487341980902575</v>
      </c>
    </row>
    <row r="101" spans="1:10" s="45" customFormat="1" ht="27" customHeight="1" x14ac:dyDescent="0.2">
      <c r="A101" s="64"/>
      <c r="B101" s="47" t="s">
        <v>142</v>
      </c>
      <c r="C101" s="70" t="s">
        <v>249</v>
      </c>
      <c r="D101" s="71"/>
      <c r="E101" s="48"/>
      <c r="F101" s="49"/>
      <c r="G101" s="114">
        <f>SUM(G102:G103)</f>
        <v>1151413.6000000001</v>
      </c>
      <c r="H101" s="114">
        <v>1851374.2799999998</v>
      </c>
      <c r="I101" s="114">
        <f t="shared" si="10"/>
        <v>-699960.6799999997</v>
      </c>
      <c r="J101" s="181">
        <f t="shared" si="11"/>
        <v>-0.37807626883527828</v>
      </c>
    </row>
    <row r="102" spans="1:10" s="54" customFormat="1" ht="27" customHeight="1" x14ac:dyDescent="0.2">
      <c r="A102" s="69"/>
      <c r="B102" s="75"/>
      <c r="C102" s="82"/>
      <c r="D102" s="51" t="s">
        <v>137</v>
      </c>
      <c r="E102" s="76" t="s">
        <v>250</v>
      </c>
      <c r="F102" s="84"/>
      <c r="G102" s="109">
        <f>-'Modello CE'!C520</f>
        <v>0</v>
      </c>
      <c r="H102" s="109">
        <v>20698.7</v>
      </c>
      <c r="I102" s="109">
        <f t="shared" si="10"/>
        <v>-20698.7</v>
      </c>
      <c r="J102" s="180">
        <f t="shared" si="11"/>
        <v>-1</v>
      </c>
    </row>
    <row r="103" spans="1:10" s="54" customFormat="1" ht="27" customHeight="1" x14ac:dyDescent="0.2">
      <c r="A103" s="69"/>
      <c r="B103" s="75"/>
      <c r="C103" s="82"/>
      <c r="D103" s="51" t="s">
        <v>139</v>
      </c>
      <c r="E103" s="82" t="s">
        <v>251</v>
      </c>
      <c r="F103" s="84"/>
      <c r="G103" s="109">
        <f>-'Modello CE'!C521</f>
        <v>1151413.6000000001</v>
      </c>
      <c r="H103" s="109">
        <v>1830675.5799999998</v>
      </c>
      <c r="I103" s="109">
        <f t="shared" si="10"/>
        <v>-679261.97999999975</v>
      </c>
      <c r="J103" s="180">
        <f t="shared" si="11"/>
        <v>-0.37104443158628891</v>
      </c>
    </row>
    <row r="104" spans="1:10" s="45" customFormat="1" ht="27" customHeight="1" x14ac:dyDescent="0.2">
      <c r="A104" s="68"/>
      <c r="B104" s="196" t="s">
        <v>914</v>
      </c>
      <c r="C104" s="196"/>
      <c r="D104" s="196"/>
      <c r="E104" s="196"/>
      <c r="F104" s="197"/>
      <c r="G104" s="115">
        <f>G98-G101</f>
        <v>993528.48</v>
      </c>
      <c r="H104" s="115">
        <v>39990263.699999996</v>
      </c>
      <c r="I104" s="115">
        <f t="shared" si="10"/>
        <v>-38996735.219999999</v>
      </c>
      <c r="J104" s="179">
        <f t="shared" si="11"/>
        <v>-0.97515574072095956</v>
      </c>
    </row>
    <row r="105" spans="1:10" s="54" customFormat="1" ht="9" customHeight="1" thickBot="1" x14ac:dyDescent="0.25">
      <c r="A105" s="86"/>
      <c r="B105" s="51"/>
      <c r="C105" s="82"/>
      <c r="D105" s="76"/>
      <c r="E105" s="82"/>
      <c r="F105" s="84"/>
      <c r="G105" s="109"/>
      <c r="H105" s="109"/>
      <c r="I105" s="109"/>
      <c r="J105" s="180"/>
    </row>
    <row r="106" spans="1:10" s="87" customFormat="1" ht="27" customHeight="1" thickTop="1" thickBot="1" x14ac:dyDescent="0.25">
      <c r="A106" s="189" t="s">
        <v>665</v>
      </c>
      <c r="B106" s="190"/>
      <c r="C106" s="190"/>
      <c r="D106" s="190"/>
      <c r="E106" s="190"/>
      <c r="F106" s="191"/>
      <c r="G106" s="116">
        <f>G85+G90+G95+G104</f>
        <v>-56587196.969572566</v>
      </c>
      <c r="H106" s="116">
        <v>20474610.929999396</v>
      </c>
      <c r="I106" s="116">
        <f t="shared" si="10"/>
        <v>-77061807.899571955</v>
      </c>
      <c r="J106" s="182">
        <f t="shared" si="11"/>
        <v>-3.7637739814953459</v>
      </c>
    </row>
    <row r="107" spans="1:10" s="87" customFormat="1" ht="9" customHeight="1" thickTop="1" x14ac:dyDescent="0.2">
      <c r="A107" s="88"/>
      <c r="B107" s="89"/>
      <c r="C107" s="89"/>
      <c r="D107" s="90"/>
      <c r="E107" s="91"/>
      <c r="F107" s="92"/>
      <c r="G107" s="113"/>
      <c r="H107" s="113"/>
      <c r="I107" s="113"/>
      <c r="J107" s="183"/>
    </row>
    <row r="108" spans="1:10" s="45" customFormat="1" ht="27" customHeight="1" x14ac:dyDescent="0.2">
      <c r="A108" s="46" t="s">
        <v>252</v>
      </c>
      <c r="B108" s="70" t="s">
        <v>253</v>
      </c>
      <c r="C108" s="71"/>
      <c r="D108" s="70"/>
      <c r="E108" s="81"/>
      <c r="F108" s="83"/>
      <c r="G108" s="110"/>
      <c r="H108" s="110"/>
      <c r="I108" s="110">
        <f t="shared" si="10"/>
        <v>0</v>
      </c>
      <c r="J108" s="181">
        <f t="shared" si="11"/>
        <v>0</v>
      </c>
    </row>
    <row r="109" spans="1:10" s="45" customFormat="1" ht="27" customHeight="1" x14ac:dyDescent="0.2">
      <c r="A109" s="64"/>
      <c r="B109" s="47" t="s">
        <v>135</v>
      </c>
      <c r="C109" s="81" t="s">
        <v>254</v>
      </c>
      <c r="D109" s="71"/>
      <c r="E109" s="81"/>
      <c r="F109" s="83"/>
      <c r="G109" s="114">
        <f>SUM(G110:G113)</f>
        <v>19911085.510000002</v>
      </c>
      <c r="H109" s="114">
        <v>19699831.749999996</v>
      </c>
      <c r="I109" s="114">
        <f t="shared" si="10"/>
        <v>211253.76000000536</v>
      </c>
      <c r="J109" s="181">
        <f t="shared" si="11"/>
        <v>1.072363270310699E-2</v>
      </c>
    </row>
    <row r="110" spans="1:10" s="54" customFormat="1" ht="27" customHeight="1" x14ac:dyDescent="0.2">
      <c r="A110" s="86"/>
      <c r="B110" s="75"/>
      <c r="C110" s="82"/>
      <c r="D110" s="51" t="s">
        <v>137</v>
      </c>
      <c r="E110" s="82" t="s">
        <v>255</v>
      </c>
      <c r="F110" s="84"/>
      <c r="G110" s="109">
        <f>-'Modello CE'!C555</f>
        <v>17510789.970000003</v>
      </c>
      <c r="H110" s="109">
        <v>17390519.239999998</v>
      </c>
      <c r="I110" s="109">
        <f t="shared" si="10"/>
        <v>120270.73000000417</v>
      </c>
      <c r="J110" s="180">
        <f t="shared" si="11"/>
        <v>6.9158791833753312E-3</v>
      </c>
    </row>
    <row r="111" spans="1:10" s="54" customFormat="1" ht="27" customHeight="1" x14ac:dyDescent="0.2">
      <c r="A111" s="86"/>
      <c r="B111" s="75"/>
      <c r="C111" s="82"/>
      <c r="D111" s="51" t="s">
        <v>139</v>
      </c>
      <c r="E111" s="82" t="s">
        <v>256</v>
      </c>
      <c r="F111" s="84"/>
      <c r="G111" s="109">
        <f>-'Modello CE'!C556</f>
        <v>2130295.54</v>
      </c>
      <c r="H111" s="109">
        <v>2046295.54</v>
      </c>
      <c r="I111" s="109">
        <f t="shared" si="10"/>
        <v>84000</v>
      </c>
      <c r="J111" s="180">
        <f t="shared" si="11"/>
        <v>4.10497889273609E-2</v>
      </c>
    </row>
    <row r="112" spans="1:10" s="54" customFormat="1" ht="27" customHeight="1" x14ac:dyDescent="0.2">
      <c r="A112" s="86"/>
      <c r="B112" s="75"/>
      <c r="C112" s="82"/>
      <c r="D112" s="51" t="s">
        <v>152</v>
      </c>
      <c r="E112" s="82" t="s">
        <v>257</v>
      </c>
      <c r="F112" s="84"/>
      <c r="G112" s="109">
        <f>-'Modello CE'!C557</f>
        <v>270000</v>
      </c>
      <c r="H112" s="109">
        <v>263016.96999999997</v>
      </c>
      <c r="I112" s="109">
        <f t="shared" si="10"/>
        <v>6983.0300000000279</v>
      </c>
      <c r="J112" s="180">
        <f t="shared" si="11"/>
        <v>2.6549731753050112E-2</v>
      </c>
    </row>
    <row r="113" spans="1:10" s="54" customFormat="1" ht="27" customHeight="1" x14ac:dyDescent="0.2">
      <c r="A113" s="86"/>
      <c r="B113" s="75"/>
      <c r="C113" s="82"/>
      <c r="D113" s="51" t="s">
        <v>158</v>
      </c>
      <c r="E113" s="82" t="s">
        <v>258</v>
      </c>
      <c r="F113" s="84"/>
      <c r="G113" s="109">
        <f>-'Modello CE'!C558</f>
        <v>0</v>
      </c>
      <c r="H113" s="109">
        <v>0</v>
      </c>
      <c r="I113" s="109">
        <f t="shared" si="10"/>
        <v>0</v>
      </c>
      <c r="J113" s="180">
        <f t="shared" si="11"/>
        <v>0</v>
      </c>
    </row>
    <row r="114" spans="1:10" s="45" customFormat="1" ht="27" customHeight="1" x14ac:dyDescent="0.2">
      <c r="A114" s="64"/>
      <c r="B114" s="47" t="s">
        <v>142</v>
      </c>
      <c r="C114" s="81" t="s">
        <v>259</v>
      </c>
      <c r="D114" s="71"/>
      <c r="E114" s="81"/>
      <c r="F114" s="83"/>
      <c r="G114" s="110">
        <f>-'Modello CE'!C559</f>
        <v>277195.40000000002</v>
      </c>
      <c r="H114" s="110">
        <v>277195.40000000002</v>
      </c>
      <c r="I114" s="110">
        <f t="shared" si="10"/>
        <v>0</v>
      </c>
      <c r="J114" s="181">
        <f t="shared" si="11"/>
        <v>0</v>
      </c>
    </row>
    <row r="115" spans="1:10" s="45" customFormat="1" ht="27" customHeight="1" x14ac:dyDescent="0.2">
      <c r="A115" s="64"/>
      <c r="B115" s="47" t="s">
        <v>144</v>
      </c>
      <c r="C115" s="81" t="s">
        <v>260</v>
      </c>
      <c r="D115" s="71"/>
      <c r="E115" s="81"/>
      <c r="F115" s="83"/>
      <c r="G115" s="110">
        <f>-'Modello CE'!C562</f>
        <v>200000</v>
      </c>
      <c r="H115" s="110">
        <v>491960.9</v>
      </c>
      <c r="I115" s="110">
        <f t="shared" si="10"/>
        <v>-291960.90000000002</v>
      </c>
      <c r="J115" s="181">
        <f t="shared" si="11"/>
        <v>-0.59346362688579524</v>
      </c>
    </row>
    <row r="116" spans="1:10" s="45" customFormat="1" ht="27" customHeight="1" x14ac:dyDescent="0.2">
      <c r="A116" s="68"/>
      <c r="B116" s="196" t="s">
        <v>915</v>
      </c>
      <c r="C116" s="196"/>
      <c r="D116" s="196"/>
      <c r="E116" s="196"/>
      <c r="F116" s="197"/>
      <c r="G116" s="115">
        <f>G109+G114+G115</f>
        <v>20388280.91</v>
      </c>
      <c r="H116" s="115">
        <v>20468988.049999993</v>
      </c>
      <c r="I116" s="115">
        <f t="shared" si="10"/>
        <v>-80707.139999993145</v>
      </c>
      <c r="J116" s="179">
        <f t="shared" si="11"/>
        <v>-3.9428983886672002E-3</v>
      </c>
    </row>
    <row r="117" spans="1:10" s="54" customFormat="1" ht="9" customHeight="1" x14ac:dyDescent="0.2">
      <c r="A117" s="86"/>
      <c r="B117" s="51"/>
      <c r="C117" s="82"/>
      <c r="D117" s="76"/>
      <c r="E117" s="82"/>
      <c r="F117" s="84"/>
      <c r="G117" s="109"/>
      <c r="H117" s="109"/>
      <c r="I117" s="109"/>
      <c r="J117" s="180"/>
    </row>
    <row r="118" spans="1:10" s="87" customFormat="1" ht="27" customHeight="1" x14ac:dyDescent="0.2">
      <c r="A118" s="46" t="s">
        <v>672</v>
      </c>
      <c r="B118" s="70"/>
      <c r="C118" s="71"/>
      <c r="D118" s="70"/>
      <c r="E118" s="81"/>
      <c r="F118" s="83"/>
      <c r="G118" s="114">
        <f>G106-G116</f>
        <v>-76975477.87957257</v>
      </c>
      <c r="H118" s="114">
        <v>5622.8799994029105</v>
      </c>
      <c r="I118" s="114">
        <f t="shared" si="10"/>
        <v>-76981100.75957197</v>
      </c>
      <c r="J118" s="181">
        <f t="shared" si="11"/>
        <v>-13690.688893902508</v>
      </c>
    </row>
    <row r="119" spans="1:10" s="54" customFormat="1" ht="9" customHeight="1" thickBot="1" x14ac:dyDescent="0.25">
      <c r="A119" s="93"/>
      <c r="B119" s="94"/>
      <c r="C119" s="95"/>
      <c r="D119" s="95"/>
      <c r="E119" s="96"/>
      <c r="F119" s="97"/>
      <c r="G119" s="117"/>
      <c r="H119" s="117"/>
      <c r="I119" s="117"/>
      <c r="J119" s="184"/>
    </row>
    <row r="120" spans="1:10" s="54" customFormat="1" x14ac:dyDescent="0.2">
      <c r="A120" s="98"/>
      <c r="B120" s="98"/>
      <c r="C120" s="99"/>
      <c r="D120" s="99"/>
      <c r="E120" s="100"/>
      <c r="F120" s="100"/>
      <c r="G120" s="106"/>
    </row>
    <row r="121" spans="1:10" x14ac:dyDescent="0.25">
      <c r="A121" s="101"/>
      <c r="B121" s="101"/>
      <c r="C121" s="102"/>
      <c r="D121" s="102"/>
      <c r="E121" s="102"/>
      <c r="F121" s="102"/>
      <c r="G121" s="107"/>
    </row>
    <row r="122" spans="1:10" x14ac:dyDescent="0.25">
      <c r="A122" s="98"/>
      <c r="B122" s="98"/>
      <c r="C122" s="99"/>
      <c r="D122" s="99"/>
      <c r="E122" s="99"/>
      <c r="F122" s="103"/>
      <c r="G122" s="107"/>
    </row>
    <row r="123" spans="1:10" x14ac:dyDescent="0.25">
      <c r="A123" s="98"/>
      <c r="B123" s="98"/>
      <c r="C123" s="99"/>
      <c r="D123" s="99"/>
      <c r="E123" s="99"/>
      <c r="F123" s="103"/>
      <c r="G123" s="107"/>
    </row>
    <row r="124" spans="1:10" x14ac:dyDescent="0.25">
      <c r="A124" s="98"/>
      <c r="B124" s="98"/>
      <c r="C124" s="99"/>
      <c r="D124" s="99"/>
      <c r="E124" s="99"/>
      <c r="F124" s="103"/>
      <c r="G124" s="107"/>
    </row>
    <row r="125" spans="1:10" x14ac:dyDescent="0.25">
      <c r="A125" s="98"/>
      <c r="B125" s="98"/>
      <c r="C125" s="99"/>
      <c r="D125" s="99"/>
      <c r="E125" s="99"/>
      <c r="F125" s="103"/>
      <c r="G125" s="107"/>
    </row>
    <row r="126" spans="1:10" x14ac:dyDescent="0.25">
      <c r="A126" s="98"/>
      <c r="B126" s="98"/>
      <c r="C126" s="99"/>
      <c r="D126" s="99"/>
      <c r="E126" s="99"/>
      <c r="F126" s="103"/>
      <c r="G126" s="107"/>
    </row>
    <row r="127" spans="1:10" x14ac:dyDescent="0.25">
      <c r="A127" s="98"/>
      <c r="B127" s="98"/>
      <c r="C127" s="99"/>
      <c r="D127" s="99"/>
      <c r="E127" s="99"/>
      <c r="F127" s="103"/>
      <c r="G127" s="107"/>
    </row>
    <row r="128" spans="1:10" x14ac:dyDescent="0.25">
      <c r="A128" s="98"/>
      <c r="B128" s="98"/>
      <c r="C128" s="99"/>
      <c r="D128" s="99"/>
      <c r="E128" s="99"/>
      <c r="F128" s="103"/>
      <c r="G128" s="107"/>
    </row>
    <row r="129" spans="1:7" x14ac:dyDescent="0.25">
      <c r="A129" s="98"/>
      <c r="B129" s="98"/>
      <c r="C129" s="99"/>
      <c r="D129" s="99"/>
      <c r="E129" s="99"/>
      <c r="F129" s="103"/>
      <c r="G129" s="107"/>
    </row>
    <row r="130" spans="1:7" x14ac:dyDescent="0.25">
      <c r="A130" s="98"/>
      <c r="B130" s="98"/>
      <c r="C130" s="99"/>
      <c r="D130" s="99"/>
      <c r="E130" s="99"/>
      <c r="F130" s="103"/>
      <c r="G130" s="107"/>
    </row>
    <row r="131" spans="1:7" x14ac:dyDescent="0.25">
      <c r="A131" s="98"/>
      <c r="B131" s="98"/>
      <c r="C131" s="99"/>
      <c r="D131" s="99"/>
      <c r="E131" s="99"/>
      <c r="F131" s="103"/>
      <c r="G131" s="107"/>
    </row>
    <row r="132" spans="1:7" x14ac:dyDescent="0.25">
      <c r="A132" s="98"/>
      <c r="B132" s="98"/>
      <c r="C132" s="99"/>
      <c r="D132" s="99"/>
      <c r="E132" s="99"/>
      <c r="F132" s="103"/>
      <c r="G132" s="107"/>
    </row>
    <row r="133" spans="1:7" x14ac:dyDescent="0.25">
      <c r="A133" s="98"/>
      <c r="B133" s="98"/>
      <c r="C133" s="99"/>
      <c r="D133" s="99"/>
      <c r="E133" s="99"/>
      <c r="F133" s="103"/>
      <c r="G133" s="108"/>
    </row>
    <row r="134" spans="1:7" x14ac:dyDescent="0.25">
      <c r="A134" s="98"/>
      <c r="B134" s="98"/>
      <c r="C134" s="99"/>
      <c r="D134" s="99"/>
      <c r="E134" s="99"/>
      <c r="F134" s="103"/>
      <c r="G134" s="108"/>
    </row>
    <row r="135" spans="1:7" x14ac:dyDescent="0.25">
      <c r="A135" s="98"/>
      <c r="B135" s="98"/>
      <c r="C135" s="99"/>
      <c r="D135" s="99"/>
      <c r="E135" s="99"/>
      <c r="F135" s="103"/>
      <c r="G135" s="108"/>
    </row>
    <row r="136" spans="1:7" x14ac:dyDescent="0.25">
      <c r="A136" s="98"/>
      <c r="B136" s="98"/>
      <c r="C136" s="99"/>
      <c r="D136" s="99"/>
      <c r="E136" s="99"/>
      <c r="F136" s="103"/>
      <c r="G136" s="108"/>
    </row>
    <row r="137" spans="1:7" x14ac:dyDescent="0.25">
      <c r="A137" s="98"/>
      <c r="B137" s="98"/>
      <c r="C137" s="99"/>
      <c r="D137" s="99"/>
      <c r="E137" s="99"/>
      <c r="F137" s="103"/>
      <c r="G137" s="108"/>
    </row>
    <row r="138" spans="1:7" x14ac:dyDescent="0.25">
      <c r="A138" s="98"/>
      <c r="B138" s="98"/>
      <c r="C138" s="99"/>
      <c r="D138" s="99"/>
      <c r="E138" s="99"/>
      <c r="F138" s="103"/>
      <c r="G138" s="108"/>
    </row>
    <row r="139" spans="1:7" x14ac:dyDescent="0.25">
      <c r="A139" s="98"/>
      <c r="B139" s="98"/>
      <c r="C139" s="99"/>
      <c r="D139" s="99"/>
      <c r="E139" s="99"/>
      <c r="F139" s="103"/>
      <c r="G139" s="108"/>
    </row>
    <row r="140" spans="1:7" x14ac:dyDescent="0.25">
      <c r="A140" s="98"/>
      <c r="B140" s="98"/>
      <c r="C140" s="99"/>
      <c r="D140" s="99"/>
      <c r="E140" s="99"/>
      <c r="F140" s="103"/>
      <c r="G140" s="108"/>
    </row>
    <row r="141" spans="1:7" s="104" customFormat="1" x14ac:dyDescent="0.25">
      <c r="A141" s="98"/>
      <c r="B141" s="98"/>
      <c r="C141" s="99"/>
      <c r="D141" s="99"/>
      <c r="E141" s="99"/>
      <c r="F141" s="103"/>
      <c r="G141" s="108"/>
    </row>
    <row r="142" spans="1:7" s="104" customFormat="1" x14ac:dyDescent="0.25">
      <c r="A142" s="98"/>
      <c r="B142" s="98"/>
      <c r="C142" s="99"/>
      <c r="D142" s="99"/>
      <c r="E142" s="99"/>
      <c r="F142" s="103"/>
      <c r="G142" s="108"/>
    </row>
    <row r="143" spans="1:7" s="104" customFormat="1" x14ac:dyDescent="0.25">
      <c r="A143" s="98"/>
      <c r="B143" s="98"/>
      <c r="C143" s="99"/>
      <c r="D143" s="99"/>
      <c r="E143" s="99"/>
      <c r="F143" s="103"/>
      <c r="G143" s="108"/>
    </row>
    <row r="144" spans="1:7" s="104" customFormat="1" x14ac:dyDescent="0.25">
      <c r="A144" s="98"/>
      <c r="B144" s="98"/>
      <c r="C144" s="99"/>
      <c r="D144" s="99"/>
      <c r="E144" s="99"/>
      <c r="F144" s="103"/>
      <c r="G144" s="108"/>
    </row>
    <row r="145" spans="1:7" s="104" customFormat="1" x14ac:dyDescent="0.25">
      <c r="A145" s="98"/>
      <c r="B145" s="98"/>
      <c r="C145" s="99"/>
      <c r="D145" s="99"/>
      <c r="E145" s="99"/>
      <c r="F145" s="103"/>
      <c r="G145" s="108"/>
    </row>
    <row r="146" spans="1:7" s="104" customFormat="1" x14ac:dyDescent="0.25">
      <c r="A146" s="98"/>
      <c r="B146" s="98"/>
      <c r="C146" s="99"/>
      <c r="D146" s="99"/>
      <c r="E146" s="99"/>
      <c r="F146" s="103"/>
      <c r="G146" s="108"/>
    </row>
    <row r="147" spans="1:7" s="104" customFormat="1" x14ac:dyDescent="0.25">
      <c r="A147" s="98"/>
      <c r="B147" s="98"/>
      <c r="C147" s="99"/>
      <c r="D147" s="99"/>
      <c r="E147" s="99"/>
      <c r="F147" s="103"/>
      <c r="G147" s="108"/>
    </row>
    <row r="148" spans="1:7" s="104" customFormat="1" x14ac:dyDescent="0.25">
      <c r="A148" s="98"/>
      <c r="B148" s="98"/>
      <c r="C148" s="99"/>
      <c r="D148" s="99"/>
      <c r="E148" s="99"/>
      <c r="F148" s="103"/>
      <c r="G148" s="108"/>
    </row>
    <row r="149" spans="1:7" s="104" customFormat="1" x14ac:dyDescent="0.25">
      <c r="A149" s="98"/>
      <c r="B149" s="98"/>
      <c r="C149" s="99"/>
      <c r="D149" s="99"/>
      <c r="E149" s="99"/>
      <c r="F149" s="103"/>
      <c r="G149" s="108"/>
    </row>
    <row r="150" spans="1:7" s="104" customFormat="1" x14ac:dyDescent="0.25">
      <c r="A150" s="98"/>
      <c r="B150" s="98"/>
      <c r="C150" s="99"/>
      <c r="D150" s="99"/>
      <c r="E150" s="99"/>
      <c r="F150" s="103"/>
      <c r="G150" s="108"/>
    </row>
    <row r="151" spans="1:7" s="104" customFormat="1" x14ac:dyDescent="0.25">
      <c r="A151" s="98"/>
      <c r="B151" s="98"/>
      <c r="C151" s="99"/>
      <c r="D151" s="99"/>
      <c r="E151" s="99"/>
      <c r="F151" s="103"/>
      <c r="G151" s="108"/>
    </row>
    <row r="152" spans="1:7" s="104" customFormat="1" x14ac:dyDescent="0.25">
      <c r="A152" s="98"/>
      <c r="B152" s="98"/>
      <c r="C152" s="99"/>
      <c r="D152" s="99"/>
      <c r="E152" s="99"/>
      <c r="F152" s="103"/>
      <c r="G152" s="108"/>
    </row>
    <row r="153" spans="1:7" s="104" customFormat="1" x14ac:dyDescent="0.25">
      <c r="A153" s="98"/>
      <c r="B153" s="98"/>
      <c r="C153" s="99"/>
      <c r="D153" s="99"/>
      <c r="E153" s="99"/>
      <c r="F153" s="103"/>
      <c r="G153" s="108"/>
    </row>
    <row r="154" spans="1:7" s="104" customFormat="1" x14ac:dyDescent="0.25">
      <c r="A154" s="98"/>
      <c r="B154" s="98"/>
      <c r="C154" s="99"/>
      <c r="D154" s="99"/>
      <c r="E154" s="99"/>
      <c r="F154" s="103"/>
      <c r="G154" s="108"/>
    </row>
    <row r="155" spans="1:7" s="104" customFormat="1" x14ac:dyDescent="0.25">
      <c r="A155" s="98"/>
      <c r="B155" s="98"/>
      <c r="C155" s="99"/>
      <c r="D155" s="99"/>
      <c r="E155" s="99"/>
      <c r="F155" s="103"/>
      <c r="G155" s="108"/>
    </row>
    <row r="156" spans="1:7" s="104" customFormat="1" x14ac:dyDescent="0.25">
      <c r="A156" s="98"/>
      <c r="B156" s="98"/>
      <c r="C156" s="99"/>
      <c r="D156" s="99"/>
      <c r="E156" s="99"/>
      <c r="F156" s="103"/>
      <c r="G156" s="108"/>
    </row>
    <row r="157" spans="1:7" s="104" customFormat="1" x14ac:dyDescent="0.25">
      <c r="A157" s="98"/>
      <c r="B157" s="98"/>
      <c r="C157" s="99"/>
      <c r="D157" s="99"/>
      <c r="E157" s="99"/>
      <c r="F157" s="103"/>
      <c r="G157" s="108"/>
    </row>
    <row r="158" spans="1:7" s="104" customFormat="1" x14ac:dyDescent="0.25">
      <c r="A158" s="98"/>
      <c r="B158" s="98"/>
      <c r="C158" s="99"/>
      <c r="D158" s="99"/>
      <c r="E158" s="99"/>
      <c r="F158" s="103"/>
      <c r="G158" s="108"/>
    </row>
    <row r="159" spans="1:7" s="104" customFormat="1" x14ac:dyDescent="0.25">
      <c r="A159" s="98"/>
      <c r="B159" s="98"/>
      <c r="C159" s="99"/>
      <c r="D159" s="99"/>
      <c r="E159" s="99"/>
      <c r="F159" s="103"/>
      <c r="G159" s="108"/>
    </row>
    <row r="160" spans="1:7" s="104" customFormat="1" x14ac:dyDescent="0.25">
      <c r="A160" s="98"/>
      <c r="B160" s="98"/>
      <c r="C160" s="99"/>
      <c r="D160" s="99"/>
      <c r="E160" s="99"/>
      <c r="F160" s="103"/>
      <c r="G160" s="108"/>
    </row>
    <row r="161" spans="1:7" s="104" customFormat="1" x14ac:dyDescent="0.25">
      <c r="A161" s="98"/>
      <c r="B161" s="98"/>
      <c r="C161" s="99"/>
      <c r="D161" s="99"/>
      <c r="E161" s="99"/>
      <c r="F161" s="103"/>
      <c r="G161" s="108"/>
    </row>
    <row r="162" spans="1:7" s="104" customFormat="1" x14ac:dyDescent="0.25">
      <c r="A162" s="98"/>
      <c r="B162" s="98"/>
      <c r="C162" s="99"/>
      <c r="D162" s="99"/>
      <c r="E162" s="99"/>
      <c r="F162" s="103"/>
      <c r="G162" s="108"/>
    </row>
    <row r="163" spans="1:7" s="104" customFormat="1" x14ac:dyDescent="0.25">
      <c r="A163" s="98"/>
      <c r="B163" s="98"/>
      <c r="C163" s="99"/>
      <c r="D163" s="99"/>
      <c r="E163" s="99"/>
      <c r="F163" s="103"/>
      <c r="G163" s="108"/>
    </row>
    <row r="164" spans="1:7" s="104" customFormat="1" x14ac:dyDescent="0.25">
      <c r="A164" s="98"/>
      <c r="B164" s="98"/>
      <c r="C164" s="99"/>
      <c r="D164" s="99"/>
      <c r="E164" s="99"/>
      <c r="F164" s="103"/>
      <c r="G164" s="108"/>
    </row>
    <row r="165" spans="1:7" s="104" customFormat="1" x14ac:dyDescent="0.25">
      <c r="A165" s="98"/>
      <c r="B165" s="98"/>
      <c r="C165" s="99"/>
      <c r="D165" s="99"/>
      <c r="E165" s="99"/>
      <c r="F165" s="103"/>
      <c r="G165" s="108"/>
    </row>
    <row r="166" spans="1:7" s="104" customFormat="1" x14ac:dyDescent="0.25">
      <c r="A166" s="105"/>
      <c r="B166" s="105"/>
      <c r="F166" s="40"/>
      <c r="G166" s="108"/>
    </row>
    <row r="167" spans="1:7" s="104" customFormat="1" x14ac:dyDescent="0.25">
      <c r="A167" s="105"/>
      <c r="B167" s="105"/>
      <c r="F167" s="40"/>
      <c r="G167" s="108"/>
    </row>
    <row r="168" spans="1:7" s="104" customFormat="1" x14ac:dyDescent="0.25">
      <c r="A168" s="105"/>
      <c r="B168" s="105"/>
      <c r="F168" s="40"/>
      <c r="G168" s="108"/>
    </row>
    <row r="169" spans="1:7" s="104" customFormat="1" x14ac:dyDescent="0.25">
      <c r="A169" s="105"/>
      <c r="B169" s="105"/>
      <c r="F169" s="40"/>
      <c r="G169" s="108"/>
    </row>
    <row r="170" spans="1:7" s="104" customFormat="1" x14ac:dyDescent="0.25">
      <c r="A170" s="105"/>
      <c r="B170" s="105"/>
      <c r="F170" s="40"/>
      <c r="G170" s="108"/>
    </row>
    <row r="171" spans="1:7" s="104" customFormat="1" x14ac:dyDescent="0.25">
      <c r="A171" s="105"/>
      <c r="B171" s="105"/>
      <c r="F171" s="40"/>
      <c r="G171" s="108"/>
    </row>
    <row r="172" spans="1:7" s="104" customFormat="1" x14ac:dyDescent="0.25">
      <c r="A172" s="105"/>
      <c r="B172" s="105"/>
      <c r="F172" s="40"/>
      <c r="G172" s="108"/>
    </row>
    <row r="173" spans="1:7" s="104" customFormat="1" x14ac:dyDescent="0.25">
      <c r="A173" s="105"/>
      <c r="B173" s="105"/>
      <c r="F173" s="40"/>
      <c r="G173" s="108"/>
    </row>
    <row r="174" spans="1:7" s="104" customFormat="1" x14ac:dyDescent="0.25">
      <c r="A174" s="105"/>
      <c r="B174" s="105"/>
      <c r="F174" s="40"/>
      <c r="G174" s="108"/>
    </row>
    <row r="175" spans="1:7" s="104" customFormat="1" x14ac:dyDescent="0.25">
      <c r="A175" s="105"/>
      <c r="B175" s="105"/>
      <c r="F175" s="40"/>
      <c r="G175" s="108"/>
    </row>
    <row r="176" spans="1:7" s="104" customFormat="1" x14ac:dyDescent="0.25">
      <c r="A176" s="105"/>
      <c r="B176" s="105"/>
      <c r="F176" s="40"/>
      <c r="G176" s="108"/>
    </row>
    <row r="177" spans="1:7" s="104" customFormat="1" x14ac:dyDescent="0.25">
      <c r="A177" s="105"/>
      <c r="B177" s="105"/>
      <c r="F177" s="40"/>
      <c r="G177" s="108"/>
    </row>
    <row r="178" spans="1:7" s="104" customFormat="1" x14ac:dyDescent="0.25">
      <c r="A178" s="105"/>
      <c r="B178" s="105"/>
      <c r="F178" s="40"/>
      <c r="G178" s="108"/>
    </row>
    <row r="179" spans="1:7" s="104" customFormat="1" x14ac:dyDescent="0.25">
      <c r="A179" s="105"/>
      <c r="B179" s="105"/>
      <c r="F179" s="40"/>
      <c r="G179" s="108"/>
    </row>
    <row r="180" spans="1:7" s="104" customFormat="1" x14ac:dyDescent="0.25">
      <c r="A180" s="105"/>
      <c r="B180" s="105"/>
      <c r="F180" s="40"/>
      <c r="G180" s="40"/>
    </row>
    <row r="181" spans="1:7" s="104" customFormat="1" x14ac:dyDescent="0.25">
      <c r="A181" s="105"/>
      <c r="B181" s="105"/>
      <c r="F181" s="40"/>
      <c r="G181" s="40"/>
    </row>
    <row r="182" spans="1:7" s="104" customFormat="1" x14ac:dyDescent="0.25">
      <c r="A182" s="105"/>
      <c r="B182" s="105"/>
      <c r="F182" s="40"/>
      <c r="G182" s="40"/>
    </row>
    <row r="183" spans="1:7" s="104" customFormat="1" x14ac:dyDescent="0.25">
      <c r="A183" s="105"/>
      <c r="B183" s="105"/>
      <c r="F183" s="40"/>
      <c r="G183" s="40"/>
    </row>
    <row r="184" spans="1:7" s="104" customFormat="1" x14ac:dyDescent="0.25">
      <c r="A184" s="105"/>
      <c r="B184" s="105"/>
      <c r="F184" s="40"/>
      <c r="G184" s="40"/>
    </row>
    <row r="185" spans="1:7" s="104" customFormat="1" x14ac:dyDescent="0.25">
      <c r="A185" s="105"/>
      <c r="B185" s="105"/>
      <c r="F185" s="40"/>
      <c r="G185" s="40"/>
    </row>
    <row r="186" spans="1:7" s="104" customFormat="1" x14ac:dyDescent="0.25">
      <c r="A186" s="105"/>
      <c r="B186" s="105"/>
      <c r="F186" s="40"/>
      <c r="G186" s="40"/>
    </row>
    <row r="187" spans="1:7" s="104" customFormat="1" x14ac:dyDescent="0.25">
      <c r="A187" s="105"/>
      <c r="B187" s="105"/>
      <c r="F187" s="40"/>
      <c r="G187" s="40"/>
    </row>
    <row r="188" spans="1:7" s="104" customFormat="1" x14ac:dyDescent="0.25">
      <c r="A188" s="105"/>
      <c r="B188" s="105"/>
      <c r="F188" s="40"/>
      <c r="G188" s="40"/>
    </row>
    <row r="189" spans="1:7" s="104" customFormat="1" x14ac:dyDescent="0.25">
      <c r="A189" s="105"/>
      <c r="B189" s="105"/>
      <c r="F189" s="40"/>
      <c r="G189" s="40"/>
    </row>
    <row r="190" spans="1:7" s="104" customFormat="1" x14ac:dyDescent="0.25">
      <c r="A190" s="105"/>
      <c r="B190" s="105"/>
      <c r="F190" s="40"/>
      <c r="G190" s="40"/>
    </row>
    <row r="191" spans="1:7" s="104" customFormat="1" x14ac:dyDescent="0.25">
      <c r="A191" s="105"/>
      <c r="B191" s="105"/>
      <c r="F191" s="40"/>
      <c r="G191" s="40"/>
    </row>
    <row r="192" spans="1:7" s="104" customFormat="1" x14ac:dyDescent="0.25">
      <c r="A192" s="105"/>
      <c r="B192" s="105"/>
      <c r="F192" s="40"/>
      <c r="G192" s="40"/>
    </row>
    <row r="193" spans="1:7" s="104" customFormat="1" x14ac:dyDescent="0.25">
      <c r="A193" s="105"/>
      <c r="B193" s="105"/>
      <c r="F193" s="40"/>
      <c r="G193" s="40"/>
    </row>
    <row r="194" spans="1:7" s="104" customFormat="1" x14ac:dyDescent="0.25">
      <c r="A194" s="105"/>
      <c r="B194" s="105"/>
      <c r="F194" s="40"/>
      <c r="G194" s="40"/>
    </row>
    <row r="195" spans="1:7" s="104" customFormat="1" x14ac:dyDescent="0.25">
      <c r="A195" s="105"/>
      <c r="F195" s="40"/>
      <c r="G195" s="40"/>
    </row>
    <row r="196" spans="1:7" s="104" customFormat="1" x14ac:dyDescent="0.25">
      <c r="A196" s="105"/>
      <c r="F196" s="40"/>
      <c r="G196" s="40"/>
    </row>
    <row r="197" spans="1:7" s="104" customFormat="1" x14ac:dyDescent="0.25">
      <c r="A197" s="105"/>
      <c r="F197" s="40"/>
      <c r="G197" s="40"/>
    </row>
    <row r="198" spans="1:7" s="104" customFormat="1" x14ac:dyDescent="0.25">
      <c r="A198" s="105"/>
      <c r="F198" s="40"/>
      <c r="G198" s="40"/>
    </row>
    <row r="199" spans="1:7" s="104" customFormat="1" x14ac:dyDescent="0.25">
      <c r="A199" s="105"/>
      <c r="F199" s="40"/>
      <c r="G199" s="40"/>
    </row>
    <row r="200" spans="1:7" s="104" customFormat="1" x14ac:dyDescent="0.25">
      <c r="A200" s="105"/>
      <c r="F200" s="40"/>
      <c r="G200" s="40"/>
    </row>
    <row r="201" spans="1:7" s="104" customFormat="1" x14ac:dyDescent="0.25">
      <c r="A201" s="105"/>
      <c r="F201" s="40"/>
      <c r="G201" s="40"/>
    </row>
    <row r="202" spans="1:7" s="104" customFormat="1" x14ac:dyDescent="0.25">
      <c r="A202" s="105"/>
      <c r="F202" s="40"/>
      <c r="G202" s="40"/>
    </row>
    <row r="203" spans="1:7" s="104" customFormat="1" x14ac:dyDescent="0.25">
      <c r="A203" s="105"/>
      <c r="F203" s="40"/>
      <c r="G203" s="40"/>
    </row>
    <row r="204" spans="1:7" s="104" customFormat="1" x14ac:dyDescent="0.25">
      <c r="A204" s="105"/>
      <c r="F204" s="40"/>
      <c r="G204" s="40"/>
    </row>
    <row r="205" spans="1:7" s="104" customFormat="1" x14ac:dyDescent="0.25">
      <c r="A205" s="105"/>
      <c r="F205" s="40"/>
      <c r="G205" s="40"/>
    </row>
    <row r="206" spans="1:7" s="104" customFormat="1" x14ac:dyDescent="0.25">
      <c r="A206" s="105"/>
      <c r="F206" s="40"/>
      <c r="G206" s="40"/>
    </row>
    <row r="207" spans="1:7" s="104" customFormat="1" x14ac:dyDescent="0.25">
      <c r="A207" s="105"/>
      <c r="F207" s="40"/>
      <c r="G207" s="40"/>
    </row>
    <row r="208" spans="1:7" s="104" customFormat="1" x14ac:dyDescent="0.25">
      <c r="A208" s="105"/>
      <c r="F208" s="40"/>
      <c r="G208" s="40"/>
    </row>
    <row r="209" spans="1:7" s="104" customFormat="1" x14ac:dyDescent="0.25">
      <c r="A209" s="105"/>
      <c r="F209" s="40"/>
      <c r="G209" s="40"/>
    </row>
    <row r="210" spans="1:7" s="104" customFormat="1" x14ac:dyDescent="0.25">
      <c r="A210" s="105"/>
      <c r="F210" s="40"/>
      <c r="G210" s="40"/>
    </row>
    <row r="211" spans="1:7" s="104" customFormat="1" x14ac:dyDescent="0.25">
      <c r="A211" s="105"/>
      <c r="F211" s="40"/>
      <c r="G211" s="40"/>
    </row>
    <row r="212" spans="1:7" s="104" customFormat="1" x14ac:dyDescent="0.25">
      <c r="A212" s="105"/>
      <c r="F212" s="40"/>
      <c r="G212" s="40"/>
    </row>
    <row r="213" spans="1:7" s="104" customFormat="1" x14ac:dyDescent="0.25">
      <c r="A213" s="105"/>
      <c r="F213" s="40"/>
      <c r="G213" s="40"/>
    </row>
    <row r="214" spans="1:7" s="104" customFormat="1" x14ac:dyDescent="0.25">
      <c r="A214" s="105"/>
      <c r="F214" s="40"/>
      <c r="G214" s="40"/>
    </row>
    <row r="215" spans="1:7" s="104" customFormat="1" x14ac:dyDescent="0.25">
      <c r="A215" s="105"/>
      <c r="F215" s="40"/>
      <c r="G215" s="40"/>
    </row>
    <row r="216" spans="1:7" s="104" customFormat="1" x14ac:dyDescent="0.25">
      <c r="A216" s="105"/>
      <c r="F216" s="40"/>
      <c r="G216" s="40"/>
    </row>
    <row r="217" spans="1:7" s="104" customFormat="1" x14ac:dyDescent="0.25">
      <c r="A217" s="105"/>
      <c r="F217" s="40"/>
      <c r="G217" s="40"/>
    </row>
    <row r="218" spans="1:7" s="104" customFormat="1" x14ac:dyDescent="0.25">
      <c r="A218" s="105"/>
      <c r="F218" s="40"/>
      <c r="G218" s="40"/>
    </row>
    <row r="219" spans="1:7" s="104" customFormat="1" x14ac:dyDescent="0.25">
      <c r="A219" s="105"/>
      <c r="F219" s="40"/>
      <c r="G219" s="40"/>
    </row>
    <row r="220" spans="1:7" s="104" customFormat="1" x14ac:dyDescent="0.25">
      <c r="A220" s="105"/>
      <c r="F220" s="40"/>
      <c r="G220" s="40"/>
    </row>
    <row r="221" spans="1:7" s="104" customFormat="1" x14ac:dyDescent="0.25">
      <c r="A221" s="105"/>
      <c r="F221" s="40"/>
      <c r="G221" s="40"/>
    </row>
    <row r="222" spans="1:7" s="104" customFormat="1" x14ac:dyDescent="0.25">
      <c r="A222" s="105"/>
      <c r="F222" s="40"/>
      <c r="G222" s="40"/>
    </row>
    <row r="223" spans="1:7" s="104" customFormat="1" x14ac:dyDescent="0.25">
      <c r="A223" s="105"/>
      <c r="F223" s="40"/>
      <c r="G223" s="40"/>
    </row>
    <row r="224" spans="1:7" s="104" customFormat="1" x14ac:dyDescent="0.25">
      <c r="A224" s="105"/>
      <c r="F224" s="40"/>
      <c r="G224" s="40"/>
    </row>
    <row r="225" spans="1:7" s="104" customFormat="1" x14ac:dyDescent="0.25">
      <c r="A225" s="105"/>
      <c r="F225" s="40"/>
      <c r="G225" s="40"/>
    </row>
    <row r="226" spans="1:7" s="104" customFormat="1" x14ac:dyDescent="0.25">
      <c r="A226" s="105"/>
      <c r="F226" s="40"/>
      <c r="G226" s="40"/>
    </row>
    <row r="227" spans="1:7" s="104" customFormat="1" x14ac:dyDescent="0.25">
      <c r="A227" s="105"/>
      <c r="F227" s="40"/>
      <c r="G227" s="40"/>
    </row>
    <row r="228" spans="1:7" s="104" customFormat="1" x14ac:dyDescent="0.25">
      <c r="A228" s="105"/>
      <c r="F228" s="40"/>
      <c r="G228" s="40"/>
    </row>
    <row r="229" spans="1:7" s="104" customFormat="1" x14ac:dyDescent="0.25">
      <c r="A229" s="105"/>
      <c r="F229" s="40"/>
      <c r="G229" s="40"/>
    </row>
    <row r="230" spans="1:7" s="104" customFormat="1" x14ac:dyDescent="0.25">
      <c r="A230" s="105"/>
      <c r="F230" s="40"/>
      <c r="G230" s="40"/>
    </row>
    <row r="231" spans="1:7" s="104" customFormat="1" x14ac:dyDescent="0.25">
      <c r="A231" s="105"/>
      <c r="F231" s="40"/>
      <c r="G231" s="40"/>
    </row>
    <row r="232" spans="1:7" s="104" customFormat="1" x14ac:dyDescent="0.25">
      <c r="A232" s="105"/>
      <c r="F232" s="40"/>
      <c r="G232" s="40"/>
    </row>
    <row r="233" spans="1:7" s="104" customFormat="1" x14ac:dyDescent="0.25">
      <c r="A233" s="105"/>
      <c r="F233" s="40"/>
      <c r="G233" s="40"/>
    </row>
    <row r="234" spans="1:7" s="104" customFormat="1" x14ac:dyDescent="0.25">
      <c r="A234" s="105"/>
      <c r="F234" s="40"/>
      <c r="G234" s="40"/>
    </row>
    <row r="235" spans="1:7" s="104" customFormat="1" x14ac:dyDescent="0.25">
      <c r="A235" s="105"/>
      <c r="F235" s="40"/>
      <c r="G235" s="40"/>
    </row>
    <row r="236" spans="1:7" s="104" customFormat="1" x14ac:dyDescent="0.25">
      <c r="A236" s="105"/>
      <c r="F236" s="40"/>
      <c r="G236" s="40"/>
    </row>
    <row r="237" spans="1:7" s="104" customFormat="1" x14ac:dyDescent="0.25">
      <c r="A237" s="105"/>
      <c r="F237" s="40"/>
      <c r="G237" s="40"/>
    </row>
    <row r="238" spans="1:7" s="104" customFormat="1" x14ac:dyDescent="0.25">
      <c r="A238" s="105"/>
      <c r="F238" s="40"/>
      <c r="G238" s="40"/>
    </row>
    <row r="239" spans="1:7" s="104" customFormat="1" x14ac:dyDescent="0.25">
      <c r="A239" s="105"/>
      <c r="F239" s="40"/>
      <c r="G239" s="40"/>
    </row>
    <row r="240" spans="1:7" s="104" customFormat="1" x14ac:dyDescent="0.25">
      <c r="A240" s="105"/>
      <c r="F240" s="40"/>
      <c r="G240" s="40"/>
    </row>
    <row r="241" spans="1:7" s="104" customFormat="1" x14ac:dyDescent="0.25">
      <c r="A241" s="105"/>
      <c r="F241" s="40"/>
      <c r="G241" s="40"/>
    </row>
    <row r="242" spans="1:7" s="104" customFormat="1" x14ac:dyDescent="0.25">
      <c r="A242" s="105"/>
      <c r="F242" s="40"/>
      <c r="G242" s="40"/>
    </row>
    <row r="243" spans="1:7" s="104" customFormat="1" x14ac:dyDescent="0.25">
      <c r="A243" s="105"/>
      <c r="F243" s="40"/>
      <c r="G243" s="40"/>
    </row>
    <row r="244" spans="1:7" s="104" customFormat="1" x14ac:dyDescent="0.25">
      <c r="A244" s="105"/>
      <c r="F244" s="40"/>
      <c r="G244" s="40"/>
    </row>
    <row r="245" spans="1:7" s="104" customFormat="1" x14ac:dyDescent="0.25">
      <c r="A245" s="105"/>
      <c r="F245" s="40"/>
      <c r="G245" s="40"/>
    </row>
    <row r="246" spans="1:7" s="104" customFormat="1" x14ac:dyDescent="0.25">
      <c r="A246" s="105"/>
      <c r="F246" s="40"/>
      <c r="G246" s="40"/>
    </row>
    <row r="247" spans="1:7" s="104" customFormat="1" x14ac:dyDescent="0.25">
      <c r="A247" s="105"/>
      <c r="F247" s="40"/>
      <c r="G247" s="40"/>
    </row>
    <row r="248" spans="1:7" s="104" customFormat="1" x14ac:dyDescent="0.25">
      <c r="A248" s="105"/>
      <c r="F248" s="40"/>
      <c r="G248" s="40"/>
    </row>
    <row r="249" spans="1:7" s="104" customFormat="1" x14ac:dyDescent="0.25">
      <c r="A249" s="105"/>
      <c r="F249" s="40"/>
      <c r="G249" s="40"/>
    </row>
    <row r="250" spans="1:7" s="104" customFormat="1" x14ac:dyDescent="0.25">
      <c r="A250" s="105"/>
      <c r="F250" s="40"/>
      <c r="G250" s="40"/>
    </row>
    <row r="251" spans="1:7" s="104" customFormat="1" x14ac:dyDescent="0.25">
      <c r="A251" s="105"/>
      <c r="F251" s="40"/>
      <c r="G251" s="40"/>
    </row>
    <row r="252" spans="1:7" s="104" customFormat="1" x14ac:dyDescent="0.25">
      <c r="A252" s="105"/>
      <c r="F252" s="40"/>
      <c r="G252" s="40"/>
    </row>
    <row r="253" spans="1:7" s="104" customFormat="1" x14ac:dyDescent="0.25">
      <c r="A253" s="105"/>
      <c r="F253" s="40"/>
      <c r="G253" s="40"/>
    </row>
    <row r="254" spans="1:7" s="104" customFormat="1" x14ac:dyDescent="0.25">
      <c r="A254" s="105"/>
      <c r="F254" s="40"/>
      <c r="G254" s="40"/>
    </row>
    <row r="255" spans="1:7" s="104" customFormat="1" x14ac:dyDescent="0.25">
      <c r="A255" s="105"/>
      <c r="F255" s="40"/>
      <c r="G255" s="40"/>
    </row>
    <row r="256" spans="1:7" s="104" customFormat="1" x14ac:dyDescent="0.25">
      <c r="A256" s="105"/>
      <c r="F256" s="40"/>
      <c r="G256" s="40"/>
    </row>
    <row r="257" spans="1:7" s="104" customFormat="1" x14ac:dyDescent="0.25">
      <c r="A257" s="105"/>
      <c r="F257" s="40"/>
      <c r="G257" s="40"/>
    </row>
    <row r="258" spans="1:7" s="104" customFormat="1" x14ac:dyDescent="0.25">
      <c r="A258" s="105"/>
      <c r="F258" s="40"/>
      <c r="G258" s="40"/>
    </row>
    <row r="259" spans="1:7" s="104" customFormat="1" x14ac:dyDescent="0.25">
      <c r="A259" s="105"/>
      <c r="F259" s="40"/>
      <c r="G259" s="40"/>
    </row>
    <row r="260" spans="1:7" s="104" customFormat="1" x14ac:dyDescent="0.25">
      <c r="A260" s="105"/>
      <c r="F260" s="40"/>
      <c r="G260" s="40"/>
    </row>
    <row r="261" spans="1:7" s="104" customFormat="1" x14ac:dyDescent="0.25">
      <c r="A261" s="105"/>
      <c r="F261" s="40"/>
      <c r="G261" s="40"/>
    </row>
    <row r="262" spans="1:7" s="104" customFormat="1" x14ac:dyDescent="0.25">
      <c r="A262" s="105"/>
      <c r="F262" s="40"/>
      <c r="G262" s="40"/>
    </row>
    <row r="263" spans="1:7" s="104" customFormat="1" x14ac:dyDescent="0.25">
      <c r="A263" s="105"/>
      <c r="F263" s="40"/>
      <c r="G263" s="40"/>
    </row>
    <row r="264" spans="1:7" s="104" customFormat="1" x14ac:dyDescent="0.25">
      <c r="A264" s="105"/>
      <c r="F264" s="40"/>
      <c r="G264" s="40"/>
    </row>
    <row r="265" spans="1:7" s="104" customFormat="1" x14ac:dyDescent="0.25">
      <c r="A265" s="105"/>
      <c r="F265" s="40"/>
      <c r="G265" s="40"/>
    </row>
    <row r="266" spans="1:7" s="104" customFormat="1" x14ac:dyDescent="0.25">
      <c r="A266" s="105"/>
      <c r="F266" s="40"/>
      <c r="G266" s="40"/>
    </row>
    <row r="267" spans="1:7" s="104" customFormat="1" x14ac:dyDescent="0.25">
      <c r="A267" s="105"/>
      <c r="F267" s="40"/>
      <c r="G267" s="40"/>
    </row>
    <row r="268" spans="1:7" s="104" customFormat="1" x14ac:dyDescent="0.25">
      <c r="A268" s="105"/>
      <c r="F268" s="40"/>
      <c r="G268" s="40"/>
    </row>
    <row r="269" spans="1:7" s="104" customFormat="1" x14ac:dyDescent="0.25">
      <c r="A269" s="105"/>
      <c r="F269" s="40"/>
      <c r="G269" s="40"/>
    </row>
    <row r="270" spans="1:7" s="104" customFormat="1" x14ac:dyDescent="0.25">
      <c r="A270" s="105"/>
      <c r="F270" s="40"/>
      <c r="G270" s="40"/>
    </row>
    <row r="271" spans="1:7" s="104" customFormat="1" x14ac:dyDescent="0.25">
      <c r="A271" s="105"/>
      <c r="F271" s="40"/>
      <c r="G271" s="40"/>
    </row>
    <row r="272" spans="1:7" s="104" customFormat="1" x14ac:dyDescent="0.25">
      <c r="A272" s="105"/>
      <c r="F272" s="40"/>
      <c r="G272" s="40"/>
    </row>
    <row r="273" spans="1:7" s="104" customFormat="1" x14ac:dyDescent="0.25">
      <c r="A273" s="105"/>
      <c r="F273" s="40"/>
      <c r="G273" s="40"/>
    </row>
    <row r="274" spans="1:7" s="104" customFormat="1" x14ac:dyDescent="0.25">
      <c r="A274" s="105"/>
      <c r="F274" s="40"/>
      <c r="G274" s="40"/>
    </row>
    <row r="275" spans="1:7" s="104" customFormat="1" x14ac:dyDescent="0.25">
      <c r="A275" s="105"/>
      <c r="F275" s="40"/>
      <c r="G275" s="40"/>
    </row>
    <row r="276" spans="1:7" s="104" customFormat="1" x14ac:dyDescent="0.25">
      <c r="A276" s="105"/>
      <c r="F276" s="40"/>
      <c r="G276" s="40"/>
    </row>
    <row r="277" spans="1:7" s="104" customFormat="1" x14ac:dyDescent="0.25">
      <c r="A277" s="105"/>
      <c r="F277" s="40"/>
      <c r="G277" s="40"/>
    </row>
    <row r="278" spans="1:7" s="104" customFormat="1" x14ac:dyDescent="0.25">
      <c r="A278" s="105"/>
      <c r="F278" s="40"/>
      <c r="G278" s="40"/>
    </row>
    <row r="279" spans="1:7" s="104" customFormat="1" x14ac:dyDescent="0.25">
      <c r="A279" s="105"/>
      <c r="F279" s="40"/>
      <c r="G279" s="40"/>
    </row>
    <row r="280" spans="1:7" s="104" customFormat="1" x14ac:dyDescent="0.25">
      <c r="A280" s="105"/>
      <c r="F280" s="40"/>
      <c r="G280" s="40"/>
    </row>
    <row r="281" spans="1:7" s="104" customFormat="1" x14ac:dyDescent="0.25">
      <c r="A281" s="105"/>
      <c r="F281" s="40"/>
      <c r="G281" s="40"/>
    </row>
    <row r="282" spans="1:7" s="104" customFormat="1" x14ac:dyDescent="0.25">
      <c r="A282" s="105"/>
      <c r="F282" s="40"/>
      <c r="G282" s="40"/>
    </row>
    <row r="283" spans="1:7" s="104" customFormat="1" x14ac:dyDescent="0.25">
      <c r="A283" s="105"/>
      <c r="F283" s="40"/>
      <c r="G283" s="40"/>
    </row>
    <row r="284" spans="1:7" s="104" customFormat="1" x14ac:dyDescent="0.25">
      <c r="A284" s="105"/>
      <c r="F284" s="40"/>
      <c r="G284" s="40"/>
    </row>
    <row r="285" spans="1:7" s="104" customFormat="1" x14ac:dyDescent="0.25">
      <c r="A285" s="105"/>
      <c r="F285" s="40"/>
      <c r="G285" s="40"/>
    </row>
    <row r="286" spans="1:7" s="104" customFormat="1" x14ac:dyDescent="0.25">
      <c r="A286" s="105"/>
      <c r="F286" s="40"/>
      <c r="G286" s="40"/>
    </row>
    <row r="287" spans="1:7" s="104" customFormat="1" x14ac:dyDescent="0.25">
      <c r="A287" s="105"/>
      <c r="F287" s="40"/>
      <c r="G287" s="40"/>
    </row>
  </sheetData>
  <mergeCells count="16">
    <mergeCell ref="I1:J2"/>
    <mergeCell ref="I4:J4"/>
    <mergeCell ref="H4:H5"/>
    <mergeCell ref="E8:F8"/>
    <mergeCell ref="A4:F5"/>
    <mergeCell ref="G4:G5"/>
    <mergeCell ref="A106:F106"/>
    <mergeCell ref="A1:H2"/>
    <mergeCell ref="B116:F116"/>
    <mergeCell ref="B33:F33"/>
    <mergeCell ref="B83:F83"/>
    <mergeCell ref="A85:F85"/>
    <mergeCell ref="B90:F90"/>
    <mergeCell ref="B95:F95"/>
    <mergeCell ref="B104:F104"/>
    <mergeCell ref="E54:F54"/>
  </mergeCells>
  <phoneticPr fontId="4" type="noConversion"/>
  <printOptions horizontalCentered="1"/>
  <pageMargins left="0.98425196850393704" right="0.98425196850393704" top="0.98425196850393704" bottom="0.98425196850393704" header="0.19685039370078741" footer="0.19685039370078741"/>
  <pageSetup paperSize="9" scale="50" fitToHeight="0" orientation="portrait" r:id="rId1"/>
  <headerFooter alignWithMargins="0">
    <oddFooter>&amp;C&amp;"Arial,Grassetto"&amp;12Conto Economico 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5 4 1 6 5 4 6 - 8 6 f 8 - 4 5 f a - a 8 3 7 - 9 b c f 1 f c 1 6 f 7 4 "   x m l n s = " h t t p : / / s c h e m a s . m i c r o s o f t . c o m / D a t a M a s h u p " > A A A A A A w E A A B Q S w M E F A A C A A g A M k 0 x V H S l X R q o A A A A + Q A A A B I A H A B D b 2 5 m a W c v U G F j a 2 F n Z S 5 4 b W w g o h g A K K A U A A A A A A A A A A A A A A A A A A A A A A A A A A A A h Y / N C o J A G E V f R W b v / J h F y O e 4 a B U k B E W 0 H c Z J h 3 Q M Z 2 x 8 t x Y 9 U q + Q U I a 7 l v d y L p z 7 e j w h G 5 o 6 u K v O 6 t a k i G G K A m V k W 2 h T p q h 3 l 3 C N M g 5 7 I a + i V M E I G 5 s M V q e o c u 6 W E O K 9 x 3 6 B 2 6 4 k E a W M n P P d Q V a q E a E 2 1 g k j F f q t i v 8 r x O H 0 k e E R j m I c 0 9 U S s 5 g y I F M P u T Y z Z l T G F M i s h E 1 f u 7 5 T X L t w e w Q y R S D f G / w N U E s D B B Q A A g A I A D J N M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T F U c X b M l Q I B A A B y A Q A A E w A c A E Z v c m 1 1 b G F z L 1 N l Y 3 R p b 2 4 x L m 0 g o h g A K K A U A A A A A A A A A A A A A A A A A A A A A A A A A A A A d Y / N a s M w E I T v B r + D U C 8 J G B P T S y H 4 U J w E e k h / k h 4 K k S m y P D g L s h Q k O d C G v H v t 2 I V e u p e B m d 2 P W Q 8 V y B q 2 H z V b x l E c + a N 0 q N m b + 7 p f s J x p h D h i / b w 4 a s i g t x 6 V g v f p S g Z Z S Y / Z h j T S w p o A E / y M C 1 E 1 N Z 0 y 4 e H O 9 E 1 W 7 N c b 8 c F e n V W o O w e x t T W 0 t q x Y s y 0 Z 8 g G O p I Z Y Z D d r S v 9 G q V S q r v g 8 Y Y f C Q Q Y 8 y z M 1 c m j d Y 0 9 w g e D z 4 D q U 8 2 T s + / n 7 w V T 8 c t i r I 1 q Z c 5 4 8 B b Q 5 v y 3 w 8 n o Y P i m n s z u + o 9 Z 6 D 6 a s t s a A 9 4 h 3 W f U d d m j t G Y X V X W v 8 b O Q n F 1 5 k 2 Q N P G F 8 N e p 3 H E Z n / U M s f U E s B A i 0 A F A A C A A g A M k 0 x V H S l X R q o A A A A + Q A A A B I A A A A A A A A A A A A A A A A A A A A A A E N v b m Z p Z y 9 Q Y W N r Y W d l L n h t b F B L A Q I t A B Q A A g A I A D J N M V Q P y u m r p A A A A O k A A A A T A A A A A A A A A A A A A A A A A P Q A A A B b Q 2 9 u d G V u d F 9 U e X B l c 1 0 u e G 1 s U E s B A i 0 A F A A C A A g A M k 0 x V H F 2 z J U C A Q A A c g E A A B M A A A A A A A A A A A A A A A A A 5 Q E A A E Z v c m 1 1 b G F z L 1 N l Y 3 R p b 2 4 x L m 1 Q S w U G A A A A A A M A A w D C A A A A N A M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Y Q o A A A A A A A A /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J 5 M z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0 R h d G k i I C 8 + P E V u d H J 5 I F R 5 c G U 9 I l J l Y 2 9 2 Z X J 5 V G F y Z 2 V 0 Q 2 9 s d W 1 u I i B W Y W x 1 Z T 0 i b D M i I C 8 + P E V u d H J 5 I F R 5 c G U 9 I l J l Y 2 9 2 Z X J 5 V G F y Z 2 V 0 U m 9 3 I i B W Y W x 1 Z T 0 i b D I i I C 8 + P E V u d H J 5 I F R 5 c G U 9 I k Z p b G x D b 3 V u d C I g V m F s d W U 9 I m w w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1 w b 3 J 0 b y Z x d W 9 0 O 1 0 i I C 8 + P E V u d H J 5 I F R 5 c G U 9 I k Z p b G x M Y X N 0 V X B k Y X R l Z C I g V m F s d W U 9 I m Q y M D I y L T A x L T E 3 V D A 4 O j M 5 O j A 5 L j Y z N j U 1 N D h a I i A v P j x F b n R y e S B U e X B l P S J G a W x s R X J y b 3 J D b 2 R l I i B W Y W x 1 Z T 0 i c 1 V u a 2 5 v d 2 4 i I C 8 + P E V u d H J 5 I F R 5 c G U 9 I k Z p b G x D b 2 x 1 b W 5 U e X B l c y I g V m F s d W U 9 I n N C U T 0 9 I i A v P j x F b n R y e S B U e X B l P S J R d W V y e U l E I i B W Y W x 1 Z T 0 i c z g 1 M T J k M z J m L W E 2 Z D k t N D E y Y y 0 4 Y m U 4 L T d h N 2 Y 1 Y T E 0 Z W U 5 M C I g L z 4 8 R W 5 0 c n k g V H l w Z T 0 i Q W R k Z W R U b 0 R h d G F N b 2 R l b C I g V m F s d W U 9 I m w w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Z p b G U v X F x c X F x c X F x i Z 2 R p c D F c X F x c c 2 V y d m l 6 a W 9 c X F x c c 2 V m X F x c X H g g c H J v Y 2 V k d X J l X F x c X G 1 v Z G V s b G 8 g Y 2 U g b W l u a X N 0 Z X J p Y W x l X F x c X D A x I G N l I G 1 v Z G V s b G 8 g b W l u a X N 0 Z X J p Y W x l L m F j Y 2 R i L y 9 R c n k z M C 5 7 S W 1 w b 3 J 0 b y w y f S Z x d W 9 0 O 1 0 s J n F 1 b 3 Q 7 Q 2 9 s d W 1 u Q 2 9 1 b n Q m c X V v d D s 6 M S w m c X V v d D t L Z X l D b 2 x 1 b W 5 O Y W 1 l c y Z x d W 9 0 O z p b X S w m c X V v d D t D b 2 x 1 b W 5 J Z G V u d G l 0 a W V z J n F 1 b 3 Q 7 O l s m c X V v d D t T Z X J 2 Z X I u R G F 0 Y W J h c 2 V c X C 8 y L 0 Z p b G U v X F x c X F x c X F x i Z 2 R p c D F c X F x c c 2 V y d m l 6 a W 9 c X F x c c 2 V m X F x c X H g g c H J v Y 2 V k d X J l X F x c X G 1 v Z G V s b G 8 g Y 2 U g b W l u a X N 0 Z X J p Y W x l X F x c X D A x I G N l I G 1 v Z G V s b G 8 g b W l u a X N 0 Z X J p Y W x l L m F j Y 2 R i L y 9 R c n k z M C 5 7 S W 1 w b 3 J 0 b y w y f S Z x d W 9 0 O 1 0 s J n F 1 b 3 Q 7 U m V s Y X R p b 2 5 z a G l w S W 5 m b y Z x d W 9 0 O z p b X X 0 i I C 8 + P E V u d H J 5 I F R 5 c G U 9 I k Z p b G x T d G F 0 d X M i I F Z h b H V l P S J z V 2 F p d G l u Z 0 Z v c k V 4 Y 2 V s U m V m c m V z a C I g L z 4 8 R W 5 0 c n k g V H l w Z T 0 i R m l s b F R h c m d l d C I g V m F s d W U 9 I n N f U X J 5 M z A i I C 8 + P C 9 T d G F i b G V F b n R y a W V z P j w v S X R l b T 4 8 S X R l b T 4 8 S X R l b U x v Y 2 F 0 a W 9 u P j x J d G V t V H l w Z T 5 G b 3 J t d W x h P C 9 J d G V t V H l w Z T 4 8 S X R l b V B h d G g + U 2 V j d G l v b j E v U X J 5 M z A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y e T M w L 1 9 R c n k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y e T M w L 1 J p b W 9 z c 2 U l M j B j b 2 x v b m 5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6 w T y 5 E f q 5 A j D u u H 9 H b O w 8 A A A A A A g A A A A A A A 2 Y A A M A A A A A Q A A A A O 0 7 M 4 v p P j P g + K V + Y W Z b T 3 Q A A A A A E g A A A o A A A A B A A A A B A 2 x 3 s b b o 4 J Q c G D U W k H n P d U A A A A A P K Z Y y m v 7 C l a E B 9 X x s S O R n n b 7 3 N S L 9 d Q h 9 E / S O p z M K 9 + k n H m n L z P c D W T F e T F 9 k Z g p c T J H Q I D d D 8 8 G P H R N x T b l H 0 d A v K L F 6 w n u 9 H b H A Z c d H o F A A A A M a a 9 x e + I X 6 r c 4 L y 4 W z u c a z Q r e e o < / D a t a M a s h u p > 
</file>

<file path=customXml/itemProps1.xml><?xml version="1.0" encoding="utf-8"?>
<ds:datastoreItem xmlns:ds="http://schemas.openxmlformats.org/officeDocument/2006/customXml" ds:itemID="{970C1115-34F7-4EE8-99F7-2596BB7F70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9</vt:i4>
      </vt:variant>
    </vt:vector>
  </HeadingPairs>
  <TitlesOfParts>
    <vt:vector size="13" baseType="lpstr">
      <vt:lpstr>Dati</vt:lpstr>
      <vt:lpstr>Modello CE</vt:lpstr>
      <vt:lpstr>CE 118</vt:lpstr>
      <vt:lpstr>Schema 118</vt:lpstr>
      <vt:lpstr>'Modello CE'!Area_stampa</vt:lpstr>
      <vt:lpstr>'Schema 118'!Area_stampa</vt:lpstr>
      <vt:lpstr>'CE 118'!Print_Area</vt:lpstr>
      <vt:lpstr>'Modello CE'!Print_Area</vt:lpstr>
      <vt:lpstr>'Schema 118'!Print_Area</vt:lpstr>
      <vt:lpstr>'Modello CE'!Print_Titles</vt:lpstr>
      <vt:lpstr>'Schema 118'!Print_Titles</vt:lpstr>
      <vt:lpstr>'Modello CE'!Titoli_stampa</vt:lpstr>
      <vt:lpstr>'Schema 118'!Titoli_stampa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gazzi_f</dc:creator>
  <cp:lastModifiedBy>Baraldi Debora</cp:lastModifiedBy>
  <cp:lastPrinted>2022-10-28T14:10:09Z</cp:lastPrinted>
  <dcterms:created xsi:type="dcterms:W3CDTF">2008-01-18T11:05:48Z</dcterms:created>
  <dcterms:modified xsi:type="dcterms:W3CDTF">2022-10-28T23:01:07Z</dcterms:modified>
</cp:coreProperties>
</file>